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3630"/>
  <sheetViews>
    <sheetView workbookViewId="0">
      <selection activeCell="A1" sqref="A1"/>
    </sheetView>
  </sheetViews>
  <sheetFormatPr baseColWidth="8" defaultRowHeight="15"/>
  <sheetData>
    <row r="1">
      <c r="B1" s="1" t="inlineStr">
        <is>
          <t>ANO</t>
        </is>
      </c>
      <c r="C1" s="1" t="inlineStr">
        <is>
          <t>DATA_HORA</t>
        </is>
      </c>
      <c r="D1" s="1" t="inlineStr">
        <is>
          <t>PORTAL</t>
        </is>
      </c>
      <c r="E1" s="1" t="inlineStr">
        <is>
          <t>CATEGORIA</t>
        </is>
      </c>
      <c r="F1" s="1" t="inlineStr">
        <is>
          <t>SEÇÃO</t>
        </is>
      </c>
      <c r="G1" s="1" t="inlineStr">
        <is>
          <t>AUTORIA</t>
        </is>
      </c>
      <c r="H1" s="1" t="inlineStr">
        <is>
          <t>TÍTULO</t>
        </is>
      </c>
      <c r="I1" s="1" t="inlineStr">
        <is>
          <t>SUBTÍTULO</t>
        </is>
      </c>
      <c r="J1" s="1" t="inlineStr">
        <is>
          <t>URL</t>
        </is>
      </c>
      <c r="K1" s="1" t="inlineStr">
        <is>
          <t>HTML</t>
        </is>
      </c>
      <c r="L1" s="1" t="inlineStr">
        <is>
          <t>TXT</t>
        </is>
      </c>
    </row>
    <row r="2">
      <c r="A2" s="1" t="n">
        <v>0</v>
      </c>
      <c r="B2" t="n">
        <v>2022</v>
      </c>
      <c r="C2" s="2" t="n">
        <v>44795.81574074074</v>
      </c>
      <c r="D2" t="inlineStr">
        <is>
          <t>A CRITICA</t>
        </is>
      </c>
      <c r="E2" t="inlineStr">
        <is>
          <t>VENEZUELANOS</t>
        </is>
      </c>
      <c r="F2" t="inlineStr">
        <is>
          <t>POLICIA</t>
        </is>
      </c>
      <c r="G2" t="inlineStr">
        <is>
          <t>NATASHA PINTO</t>
        </is>
      </c>
      <c r="H2" t="inlineStr">
        <is>
          <t>ADOLESCENTE É MORTO A TIROS NA AV. JOAQUIM NABUCO, NO CENTRO DE MANAUS</t>
        </is>
      </c>
      <c r="I2" t="inlineStr">
        <is>
          <t>DOIS MOTOQUEIROS, QUE NÃO FORAM IDENTIFICADOS, EFETUARAM OS DISPAROS DE ARMA DE FOGO, FUGINDO EM SEGUIDA.</t>
        </is>
      </c>
      <c r="J2">
        <f>HYPERLINK("https://www.acritica.com/policia/adolescente-e-morto-a-tiros-na-av-joaquim-nabuco-no-centro-de-manaus-1.279381", "URL")</f>
        <v/>
      </c>
      <c r="K2">
        <f>HYPERLINK("https://raw.githubusercontent.com/marcosmapl/dataset_imigrantes/main/noticias_filtered/a_critica/venezuelanos/2022/07_ago/html/1.279381_233.html", "HTML")</f>
        <v/>
      </c>
      <c r="L2">
        <f>HYPERLINK("https://raw.githubusercontent.com/marcosmapl/dataset_imigrantes/main/noticias_filtered/a_critica/venezuelanos/2022/07_ago/txt/1.279381_233.txt", "TXT")</f>
        <v/>
      </c>
    </row>
    <row r="3">
      <c r="A3" s="1" t="n">
        <v>1</v>
      </c>
      <c r="B3" t="n">
        <v>2022</v>
      </c>
      <c r="C3" s="2" t="n">
        <v>44795.73875503472</v>
      </c>
      <c r="D3" t="inlineStr">
        <is>
          <t>G1</t>
        </is>
      </c>
      <c r="E3" t="inlineStr">
        <is>
          <t>VENEZUELANOS</t>
        </is>
      </c>
      <c r="F3" t="inlineStr">
        <is>
          <t>AMAZONAS</t>
        </is>
      </c>
      <c r="G3" t="inlineStr">
        <is>
          <t>G1 AM</t>
        </is>
      </c>
      <c r="H3" t="inlineStr">
        <is>
          <t>COM MORTE DE VÍTIMA, VENEZUELANO  QUE ATEOU FOGO EM LOTÉRICA EM MANAUS AGORA VAI RESPONDER POR HOMICÍDIO QUALIFICADO</t>
        </is>
      </c>
      <c r="I3" t="inlineStr">
        <is>
          <t>CARLOS HENRIQUE DA SILVA PONTES, DE 50 ANOS, UMA DAS QUATRO VÍTIMAS DO INCÊNDIO, MORREU NO HOSPITAL.</t>
        </is>
      </c>
      <c r="J3">
        <f>HYPERLINK("https://g1.globo.com/am/amazonas/noticia/2022/08/22/com-morte-de-vitima-venezuelano-que-ateou-fogo-em-loterica-em-manaus-agora-vai-responder-por-homicidio-qualificado.ghtml", "URL")</f>
        <v/>
      </c>
      <c r="K3">
        <f>HYPERLINK("https://raw.githubusercontent.com/marcosmapl/dataset_imigrantes/main/noticias_filtered/g1/venezuelanos/2022/07_ago/html/g1_0a011c64-232b-11ed-b24f-6dbe51e79fca_4217.html", "HTML")</f>
        <v/>
      </c>
      <c r="L3">
        <f>HYPERLINK("https://raw.githubusercontent.com/marcosmapl/dataset_imigrantes/main/noticias_filtered/g1/venezuelanos/2022/07_ago/txt/g1_0a011c64-232b-11ed-b24f-6dbe51e79fca_4217.txt", "TXT")</f>
        <v/>
      </c>
    </row>
    <row r="4">
      <c r="A4" s="1" t="n">
        <v>2</v>
      </c>
      <c r="B4" t="n">
        <v>2022</v>
      </c>
      <c r="C4" s="2" t="n">
        <v>44795.45685185185</v>
      </c>
      <c r="D4" t="inlineStr">
        <is>
          <t>A CRITICA</t>
        </is>
      </c>
      <c r="E4" t="inlineStr">
        <is>
          <t>VENEZUELANOS</t>
        </is>
      </c>
      <c r="F4" t="inlineStr"/>
      <c r="G4" t="inlineStr">
        <is>
          <t>JOANA QUEIROZ</t>
        </is>
      </c>
      <c r="H4" t="inlineStr">
        <is>
          <t>APÓS MORTE DE VÍTIMA, HOMEM QUE ATEOU NO ADOLPHO LISBOA PASSA A SER INVESTIGADO POR HOMICÍDIO</t>
        </is>
      </c>
      <c r="I4" t="inlineStr">
        <is>
          <t>OUTRAS TRÊS VÍTIMAS CONTINUAM INTERNADAS NO HPS 28 DE AGOSTO</t>
        </is>
      </c>
      <c r="J4">
        <f>HYPERLINK("https://www.acritica.com/apos-morte-de-vitima-homem-que-ateou-no-adolpho-lisboa-passa-a-ser-investigado-por-homicidio-1.279332", "URL")</f>
        <v/>
      </c>
      <c r="K4">
        <f>HYPERLINK("https://raw.githubusercontent.com/marcosmapl/dataset_imigrantes/main/noticias_filtered/a_critica/venezuelanos/2022/07_ago/html/1.279332_621.html", "HTML")</f>
        <v/>
      </c>
      <c r="L4">
        <f>HYPERLINK("https://raw.githubusercontent.com/marcosmapl/dataset_imigrantes/main/noticias_filtered/a_critica/venezuelanos/2022/07_ago/txt/1.279332_621.txt", "TXT")</f>
        <v/>
      </c>
    </row>
    <row r="5">
      <c r="A5" s="1" t="n">
        <v>3</v>
      </c>
      <c r="B5" t="n">
        <v>2022</v>
      </c>
      <c r="C5" s="2" t="n">
        <v>44794.93918092593</v>
      </c>
      <c r="D5" t="inlineStr">
        <is>
          <t>G1</t>
        </is>
      </c>
      <c r="E5" t="inlineStr">
        <is>
          <t>HAITIANOS</t>
        </is>
      </c>
      <c r="F5" t="inlineStr">
        <is>
          <t>OLHA QUE LEGAL</t>
        </is>
      </c>
      <c r="G5" t="inlineStr">
        <is>
          <t>G1</t>
        </is>
      </c>
      <c r="H5" t="inlineStr">
        <is>
          <t>HAITIANO ARRECADA DINHEIRO PARA ADOTAR CRIANÇA QUE ACHOU COBERTA POR FORMIGAS NO LIXO</t>
        </is>
      </c>
      <c r="I5" t="inlineStr">
        <is>
          <t>ESTUDANTE, QUE VIVE NOS EUA, ONDE TRABALHA E ESTUDA, ENCONTROU O BEBÊ QUANDO ESTAVA A CAMINHO DE UMA FESTA DE RÉVEILLON.</t>
        </is>
      </c>
      <c r="J5">
        <f>HYPERLINK("https://g1.globo.com/olha-que-legal/noticia/2022/08/21/haitiano-arrecada-dinheiro-para-adotar-crianca-que-achou-coberta-por-formigas-no-lixo.ghtml", "URL")</f>
        <v/>
      </c>
      <c r="K5">
        <f>HYPERLINK("https://raw.githubusercontent.com/marcosmapl/dataset_imigrantes/main/noticias_filtered/g1/haitianos/2022/07_ago/html/g1_9b3902da-22f1-11ed-b24f-6dbe51e79fca_1757.html", "HTML")</f>
        <v/>
      </c>
      <c r="L5">
        <f>HYPERLINK("https://raw.githubusercontent.com/marcosmapl/dataset_imigrantes/main/noticias_filtered/g1/haitianos/2022/07_ago/txt/g1_9b3902da-22f1-11ed-b24f-6dbe51e79fca_1757.txt", "TXT")</f>
        <v/>
      </c>
    </row>
    <row r="6">
      <c r="A6" s="1" t="n">
        <v>4</v>
      </c>
      <c r="B6" t="n">
        <v>2022</v>
      </c>
      <c r="C6" s="2" t="n">
        <v>44794.46302572916</v>
      </c>
      <c r="D6" t="inlineStr">
        <is>
          <t>G1</t>
        </is>
      </c>
      <c r="E6" t="inlineStr">
        <is>
          <t>VENEZUELANOS</t>
        </is>
      </c>
      <c r="F6" t="inlineStr">
        <is>
          <t>SANTA CATARINA</t>
        </is>
      </c>
      <c r="G6" t="inlineStr">
        <is>
          <t>SOFIA MAYER, G1 SC</t>
        </is>
      </c>
      <c r="H6" t="inlineStr">
        <is>
          <t>VENEZUELANO EM SITUAÇÃO DE RUA PASSA EM VESTIBULAR DA UFSC: 'NOVO CAPÍTULO'</t>
        </is>
      </c>
      <c r="I6" t="inlineStr">
        <is>
          <t>ELE BUSCOU EM JUNHO DESTE ANO A PASSARELA DA CIDADANIA, ABRIGO EM FLORIANÓPOLIS, E MANTINHA A ROTINA DE ESTUDOS.</t>
        </is>
      </c>
      <c r="J6">
        <f>HYPERLINK("https://g1.globo.com/sc/santa-catarina/noticia/2022/08/21/venezuelano-em-situacao-de-rua-passa-em-vestibular-da-ufsc-novo-capitulo.ghtml", "URL")</f>
        <v/>
      </c>
      <c r="K6">
        <f>HYPERLINK("https://raw.githubusercontent.com/marcosmapl/dataset_imigrantes/main/noticias_filtered/g1/venezuelanos/2022/07_ago/html/g1_2001ba74-230c-11ed-b24f-6dbe51e79fca_2606.html", "HTML")</f>
        <v/>
      </c>
      <c r="L6">
        <f>HYPERLINK("https://raw.githubusercontent.com/marcosmapl/dataset_imigrantes/main/noticias_filtered/g1/venezuelanos/2022/07_ago/txt/g1_2001ba74-230c-11ed-b24f-6dbe51e79fca_2606.txt", "TXT")</f>
        <v/>
      </c>
    </row>
    <row r="7">
      <c r="A7" s="1" t="n">
        <v>5</v>
      </c>
      <c r="B7" t="n">
        <v>2022</v>
      </c>
      <c r="C7" s="2" t="n">
        <v>44792.6697337963</v>
      </c>
      <c r="D7" t="inlineStr">
        <is>
          <t>A CRITICA</t>
        </is>
      </c>
      <c r="E7" t="inlineStr">
        <is>
          <t>VENEZUELANOS</t>
        </is>
      </c>
      <c r="F7" t="inlineStr">
        <is>
          <t>POLICIA</t>
        </is>
      </c>
      <c r="G7" t="inlineStr">
        <is>
          <t>JOANA QUEIROZ</t>
        </is>
      </c>
      <c r="H7" t="inlineStr">
        <is>
          <t>PESSOAS QUE AGREDIRAM INCENDIÁRIO DE LOTÉRICA TAMBÉM SERÃO INVESTIGADAS, DIZ POLÍCIA</t>
        </is>
      </c>
      <c r="I7" t="inlineStr">
        <is>
          <t>O DELEGADO TITULAR DO CASO INFORMOU QUE VAI INSTAURAR INQUÉRITO PARA INVESTIGAR A TENTATIVA DE LINCHAMENTO CONTRA O VENEZUELANO LUÍS DOMINGO SISO. IMAGENS DAS CÂMERAS DE SEGURANÇA DEVEM AJUDAR NA INVESTIGAÇÃO</t>
        </is>
      </c>
      <c r="J7">
        <f>HYPERLINK("https://www.acritica.com/policia/pessoas-que-agrediram-incendiario-de-loterica-tambem-ser-o-investigadas-diz-policia-1.279156", "URL")</f>
        <v/>
      </c>
      <c r="K7">
        <f>HYPERLINK("https://raw.githubusercontent.com/marcosmapl/dataset_imigrantes/main/noticias_filtered/a_critica/venezuelanos/2022/07_ago/html/1.279156_1164.html", "HTML")</f>
        <v/>
      </c>
      <c r="L7">
        <f>HYPERLINK("https://raw.githubusercontent.com/marcosmapl/dataset_imigrantes/main/noticias_filtered/a_critica/venezuelanos/2022/07_ago/txt/1.279156_1164.txt", "TXT")</f>
        <v/>
      </c>
    </row>
    <row r="8">
      <c r="A8" s="1" t="n">
        <v>6</v>
      </c>
      <c r="B8" t="n">
        <v>2022</v>
      </c>
      <c r="C8" s="2" t="n">
        <v>44792.58624412037</v>
      </c>
      <c r="D8" t="inlineStr">
        <is>
          <t>G1</t>
        </is>
      </c>
      <c r="E8" t="inlineStr">
        <is>
          <t>VENEZUELANOS</t>
        </is>
      </c>
      <c r="F8" t="inlineStr">
        <is>
          <t>TRIÂNGULO E ALTO PARANAÍBA</t>
        </is>
      </c>
      <c r="G8" t="inlineStr">
        <is>
          <t>G1 TRIÂNGULO E ALTO PARANAÍBA — UBERABA</t>
        </is>
      </c>
      <c r="H8" t="inlineStr">
        <is>
          <t>AUMENTA O NÚMERO DE PESSOAS EM SITUAÇÃO DE RUA EM UBERABA; CONFIRA DETALHES DO CENSO 2022</t>
        </is>
      </c>
      <c r="I8" t="inlineStr">
        <is>
          <t>LEVANTAMENTO FOI REALIZADO DURANTE CERCA DE 40 DIAS NA CIDADE E APONTA 41,58% DE AUMENTO EM RELAÇÃO AO ANO PASSADO. DOIS IMIGRANTES VENEZUELANOS ESTÃO ENTRE OS ENTREVISTADOS.</t>
        </is>
      </c>
      <c r="J8">
        <f>HYPERLINK("https://g1.globo.com/mg/triangulo-mineiro/noticia/2022/08/19/aumenta-o-numero-de-pessoas-em-situacao-de-rua-em-uberaba-confira-detalhes-do-censo-2022.ghtml", "URL")</f>
        <v/>
      </c>
      <c r="K8">
        <f>HYPERLINK("https://raw.githubusercontent.com/marcosmapl/dataset_imigrantes/main/noticias_filtered/g1/venezuelanos/2022/07_ago/html/g1_2e32b9b8-231b-11ed-b24f-6dbe51e79fca_3372.html", "HTML")</f>
        <v/>
      </c>
      <c r="L8">
        <f>HYPERLINK("https://raw.githubusercontent.com/marcosmapl/dataset_imigrantes/main/noticias_filtered/g1/venezuelanos/2022/07_ago/txt/g1_2e32b9b8-231b-11ed-b24f-6dbe51e79fca_3372.txt", "TXT")</f>
        <v/>
      </c>
    </row>
    <row r="9">
      <c r="A9" s="1" t="n">
        <v>7</v>
      </c>
      <c r="B9" t="n">
        <v>2022</v>
      </c>
      <c r="C9" s="2" t="n">
        <v>44792.56364952547</v>
      </c>
      <c r="D9" t="inlineStr">
        <is>
          <t>G1</t>
        </is>
      </c>
      <c r="E9" t="inlineStr">
        <is>
          <t>VENEZUELANOS</t>
        </is>
      </c>
      <c r="F9" t="inlineStr">
        <is>
          <t>RORAIMA</t>
        </is>
      </c>
      <c r="G9" t="inlineStr">
        <is>
          <t>G1 RR — BOA VISTA</t>
        </is>
      </c>
      <c r="H9" t="inlineStr">
        <is>
          <t>MIGRANTE VENEZUELANA USA EXPERIÊNCIA COMO PROFESSORA PARA AJUDAR CRIANÇAS E ADOLESCENTES REFUGIADOS EM RORAIMA</t>
        </is>
      </c>
      <c r="I9" t="inlineStr">
        <is>
          <t>LUSMARA LÓPEZ DEDICOU 21 ANOS DE SUA VIDA À SALA DE AULA E, ATUALMENTE, USA O CONHECIMENTO QUE TEM NO TRABALHO HUMANITÁRIO. NESTA SEXTA-FEIRA (19), DIA MUNDIAL HUMANITÁRIO, LUSMARA CONTA COMO OUVIR CRIANÇAS E ADOLESCENTES MIGRANTES E REFUGIADOS TRANSFORMOU SUA VIDA.</t>
        </is>
      </c>
      <c r="J9">
        <f>HYPERLINK("https://g1.globo.com/rr/roraima/noticia/2022/08/19/migrante-venezuelana-usa-experiencia-como-professora-para-ajudar-criancas-e-adolescentes-refugiados-em-roraima.ghtml", "URL")</f>
        <v/>
      </c>
      <c r="K9">
        <f>HYPERLINK("https://raw.githubusercontent.com/marcosmapl/dataset_imigrantes/main/noticias_filtered/g1/venezuelanos/2022/07_ago/html/g1_23f25c22-230e-11ed-b24f-6dbe51e79fca_2724.html", "HTML")</f>
        <v/>
      </c>
      <c r="L9">
        <f>HYPERLINK("https://raw.githubusercontent.com/marcosmapl/dataset_imigrantes/main/noticias_filtered/g1/venezuelanos/2022/07_ago/txt/g1_23f25c22-230e-11ed-b24f-6dbe51e79fca_2724.txt", "TXT")</f>
        <v/>
      </c>
    </row>
    <row r="10">
      <c r="A10" s="1" t="n">
        <v>8</v>
      </c>
      <c r="B10" t="n">
        <v>2022</v>
      </c>
      <c r="C10" s="2" t="n">
        <v>44791.88408831019</v>
      </c>
      <c r="D10" t="inlineStr">
        <is>
          <t>G1</t>
        </is>
      </c>
      <c r="E10" t="inlineStr">
        <is>
          <t>VENEZUELANOS</t>
        </is>
      </c>
      <c r="F10" t="inlineStr">
        <is>
          <t>ACRE</t>
        </is>
      </c>
      <c r="G10" t="inlineStr">
        <is>
          <t>G1 AC — RIO BRANCO</t>
        </is>
      </c>
      <c r="H10" t="inlineStr">
        <is>
          <t>COM 4 CASOS SUSPEITOS DE VARÍOLA DOS MACACOS EM CRIANÇAS, PROFISSIONAIS DE HOSPITAL INFANTIL E MATERNIDADE RECEBEM TREINAMENTO</t>
        </is>
      </c>
      <c r="I10" t="inlineStr">
        <is>
          <t>CAPACITAÇÃO OCORREU NESTA QUINTA-FEIRA (18) NO INTO-AC, EM RIO BRANCO. SAÚDE ESTADUAL NOTIFICOU MAIS UM CASO SUSPEITO EM UM MENINO DE 4 ANOS.</t>
        </is>
      </c>
      <c r="J10">
        <f>HYPERLINK("https://g1.globo.com/ac/acre/noticia/2022/08/18/com-4-casos-suspeitos-de-variola-dos-macacos-em-criancas-profissionais-de-hospital-infantil-e-maternidade-recebem-treinamento.ghtml", "URL")</f>
        <v/>
      </c>
      <c r="K10">
        <f>HYPERLINK("https://raw.githubusercontent.com/marcosmapl/dataset_imigrantes/main/noticias_filtered/g1/venezuelanos/2022/07_ago/html/g1_272c9e42-2323-11ed-b24f-6dbe51e79fca_3790.html", "HTML")</f>
        <v/>
      </c>
      <c r="L10">
        <f>HYPERLINK("https://raw.githubusercontent.com/marcosmapl/dataset_imigrantes/main/noticias_filtered/g1/venezuelanos/2022/07_ago/txt/g1_272c9e42-2323-11ed-b24f-6dbe51e79fca_3790.txt", "TXT")</f>
        <v/>
      </c>
    </row>
    <row r="11">
      <c r="A11" s="1" t="n">
        <v>9</v>
      </c>
      <c r="B11" t="n">
        <v>2022</v>
      </c>
      <c r="C11" s="2" t="n">
        <v>44791.8728387037</v>
      </c>
      <c r="D11" t="inlineStr">
        <is>
          <t>G1</t>
        </is>
      </c>
      <c r="E11" t="inlineStr">
        <is>
          <t>VENEZUELANOS</t>
        </is>
      </c>
      <c r="F11" t="inlineStr">
        <is>
          <t>ESPÍRITO SANTO</t>
        </is>
      </c>
      <c r="G11" t="inlineStr">
        <is>
          <t>DIONY SILVA, TV GAZETA</t>
        </is>
      </c>
      <c r="H11" t="inlineStr">
        <is>
          <t>VENEZUELANOS DEIXADOS EM VITÓRIA SAEM DE ABRIGO E SÃO LEVADOS PARA CASA</t>
        </is>
      </c>
      <c r="I11" t="inlineStr">
        <is>
          <t>GRUPO DE 25 INDÍGENAS FORAM DEIXADOS NA CAPITAL DO ESPÍRITO SANTO POR ÔNIBUS DA PREFEITURA DO MUNICÍPIO BAIANO DE TEIXEIRA DE FREITAS.</t>
        </is>
      </c>
      <c r="J11">
        <f>HYPERLINK("https://g1.globo.com/es/espirito-santo/noticia/2022/08/18/venezuelanos-deixados-em-vitoria-saem-de-abrigo-e-sao-levados-para-casa.ghtml", "URL")</f>
        <v/>
      </c>
      <c r="K11">
        <f>HYPERLINK("https://raw.githubusercontent.com/marcosmapl/dataset_imigrantes/main/noticias_filtered/g1/venezuelanos/2022/07_ago/html/g1_1d5b860c-2310-11ed-b24f-6dbe51e79fca_2841.html", "HTML")</f>
        <v/>
      </c>
      <c r="L11">
        <f>HYPERLINK("https://raw.githubusercontent.com/marcosmapl/dataset_imigrantes/main/noticias_filtered/g1/venezuelanos/2022/07_ago/txt/g1_1d5b860c-2310-11ed-b24f-6dbe51e79fca_2841.txt", "TXT")</f>
        <v/>
      </c>
    </row>
    <row r="12">
      <c r="A12" s="1" t="n">
        <v>10</v>
      </c>
      <c r="B12" t="n">
        <v>2022</v>
      </c>
      <c r="C12" s="2" t="n">
        <v>44791.86521296296</v>
      </c>
      <c r="D12" t="inlineStr">
        <is>
          <t>G1</t>
        </is>
      </c>
      <c r="E12" t="inlineStr">
        <is>
          <t>VENEZUELANOS</t>
        </is>
      </c>
      <c r="F12" t="inlineStr">
        <is>
          <t>AMAZONAS</t>
        </is>
      </c>
      <c r="G12" t="inlineStr">
        <is>
          <t>G1 AM</t>
        </is>
      </c>
      <c r="H12" t="inlineStr">
        <is>
          <t>JUSTIÇA DETERMINA PRISÃO PREVENTIVA DE HOMEM QUE ATEOU FOGO EM LOTÉRICA EM MANAUS</t>
        </is>
      </c>
      <c r="I12" t="inlineStr">
        <is>
          <t>MINISTÉRIO PÚBLICO PEDIU A CONVERSÃO DA PRISÃO EM FLAGRANTE PARA PREVENTIVA, DESTACANDO "A GRAVIDADE DO CRIME, AS CIRCUNSTÂNCIAS DO FATO, E A GRANDE REPERCUSSÃO DO EPISÓDIO NA CIDADE".</t>
        </is>
      </c>
      <c r="J12">
        <f>HYPERLINK("https://g1.globo.com/am/amazonas/noticia/2022/08/18/justica-determina-prisao-preventiva-de-homem-que-ateou-fogo-em-loterica-em-manaus.ghtml", "URL")</f>
        <v/>
      </c>
      <c r="K12">
        <f>HYPERLINK("https://raw.githubusercontent.com/marcosmapl/dataset_imigrantes/main/noticias_filtered/g1/venezuelanos/2022/07_ago/html/g1_314470f6-2325-11ed-b24f-6dbe51e79fca_3900.html", "HTML")</f>
        <v/>
      </c>
      <c r="L12">
        <f>HYPERLINK("https://raw.githubusercontent.com/marcosmapl/dataset_imigrantes/main/noticias_filtered/g1/venezuelanos/2022/07_ago/txt/g1_314470f6-2325-11ed-b24f-6dbe51e79fca_3900.txt", "TXT")</f>
        <v/>
      </c>
    </row>
    <row r="13">
      <c r="A13" s="1" t="n">
        <v>11</v>
      </c>
      <c r="B13" t="n">
        <v>2022</v>
      </c>
      <c r="C13" s="2" t="n">
        <v>44791.59885868055</v>
      </c>
      <c r="D13" t="inlineStr">
        <is>
          <t>G1</t>
        </is>
      </c>
      <c r="E13" t="inlineStr">
        <is>
          <t>VENEZUELANOS</t>
        </is>
      </c>
      <c r="F13" t="inlineStr">
        <is>
          <t>AMAZONAS</t>
        </is>
      </c>
      <c r="G13" t="inlineStr">
        <is>
          <t>G1 AM</t>
        </is>
      </c>
      <c r="H13" t="inlineStr">
        <is>
          <t>BEBÊ DE 1 ANO FICA COM ESPETO DE CHURRASCO PRESO AO OMBRO, NO AMAZONAS</t>
        </is>
      </c>
      <c r="I13" t="inlineStr">
        <is>
          <t>A MÃE DA CRIANÇA NÃO SOUBE DIZER COMO O ACIDENTE ACONTECEU, POIS O BEBÊ JÁ TERIA SE APROXIMADO DELA COM O OBJETO NO OMBRO.</t>
        </is>
      </c>
      <c r="J13">
        <f>HYPERLINK("https://g1.globo.com/am/amazonas/noticia/2022/08/18/bebe-de-1-ano-fica-com-espeto-preso-ao-ombro-no-amazonas.ghtml", "URL")</f>
        <v/>
      </c>
      <c r="K13">
        <f>HYPERLINK("https://raw.githubusercontent.com/marcosmapl/dataset_imigrantes/main/noticias_filtered/g1/venezuelanos/2022/07_ago/html/g1_5a0df7c2-2312-11ed-b24f-6dbe51e79fca_2962.html", "HTML")</f>
        <v/>
      </c>
      <c r="L13">
        <f>HYPERLINK("https://raw.githubusercontent.com/marcosmapl/dataset_imigrantes/main/noticias_filtered/g1/venezuelanos/2022/07_ago/txt/g1_5a0df7c2-2312-11ed-b24f-6dbe51e79fca_2962.txt", "TXT")</f>
        <v/>
      </c>
    </row>
    <row r="14">
      <c r="A14" s="1" t="n">
        <v>12</v>
      </c>
      <c r="B14" t="n">
        <v>2022</v>
      </c>
      <c r="C14" s="2" t="n">
        <v>44790.9650872338</v>
      </c>
      <c r="D14" t="inlineStr">
        <is>
          <t>G1</t>
        </is>
      </c>
      <c r="E14" t="inlineStr">
        <is>
          <t>VENEZUELANOS</t>
        </is>
      </c>
      <c r="F14" t="inlineStr">
        <is>
          <t>AMAZONAS</t>
        </is>
      </c>
      <c r="G14" t="inlineStr">
        <is>
          <t>G1 AM</t>
        </is>
      </c>
      <c r="H14" t="inlineStr">
        <is>
          <t>HOMEM QUE INCENDIOU LOTÉRICA NO CENTRO DE MANAUS VAI RESPONDER POR TRÊS CRIMES, DIZ PC</t>
        </is>
      </c>
      <c r="I14" t="inlineStr">
        <is>
          <t>QUATRO PESSOAS, ALÉM DO SUSPEITO, ESTÃO INTERNADAS EM ESTADO GRAVE.</t>
        </is>
      </c>
      <c r="J14">
        <f>HYPERLINK("https://g1.globo.com/am/amazonas/noticia/2022/08/17/homem-que-incendiou-loterica-no-centro-de-manaus-vai-responder-por-tres-crimes-diz-pc.ghtml", "URL")</f>
        <v/>
      </c>
      <c r="K14">
        <f>HYPERLINK("https://raw.githubusercontent.com/marcosmapl/dataset_imigrantes/main/noticias_filtered/g1/venezuelanos/2022/07_ago/html/g1_c225c786-2321-11ed-b24f-6dbe51e79fca_3716.html", "HTML")</f>
        <v/>
      </c>
      <c r="L14">
        <f>HYPERLINK("https://raw.githubusercontent.com/marcosmapl/dataset_imigrantes/main/noticias_filtered/g1/venezuelanos/2022/07_ago/txt/g1_c225c786-2321-11ed-b24f-6dbe51e79fca_3716.txt", "TXT")</f>
        <v/>
      </c>
    </row>
    <row r="15">
      <c r="A15" s="1" t="n">
        <v>13</v>
      </c>
      <c r="B15" t="n">
        <v>2022</v>
      </c>
      <c r="C15" s="2" t="n">
        <v>44790.83478009259</v>
      </c>
      <c r="D15" t="inlineStr">
        <is>
          <t>A CRITICA</t>
        </is>
      </c>
      <c r="E15" t="inlineStr">
        <is>
          <t>VENEZUELANOS</t>
        </is>
      </c>
      <c r="F15" t="inlineStr">
        <is>
          <t>POLICIA</t>
        </is>
      </c>
      <c r="G15" t="inlineStr">
        <is>
          <t>MICHAEL DOUGLAS</t>
        </is>
      </c>
      <c r="H15" t="inlineStr">
        <is>
          <t>INCÊNDIO ADOLPHO LISBOA: VÍTIMAS E INCENDIÁRIO SEGUEM EM ESTADO GRAVE</t>
        </is>
      </c>
      <c r="I15" t="inlineStr">
        <is>
          <t>DOIS HOMENS E DUAS MULHERES, FUNCIONÁRIOS DA LOTÉRICA, SEGUEM RECEBENDO CUIDADOS NO CENTRO DE TRATAMENTO DE QUEIMADOS (CTQ) DO 28 DE AGOSTO. INCENDIÁRIO ESTÁ EM ESTADO GRAVE NO HOSPITAL JOÃO LÚCIO</t>
        </is>
      </c>
      <c r="J15">
        <f>HYPERLINK("https://www.acritica.com/policia/incendio-adolpho-lisboa-vitimas-e-incendiario-seguem-em-estado-grave-1.278990", "URL")</f>
        <v/>
      </c>
      <c r="K15">
        <f>HYPERLINK("https://raw.githubusercontent.com/marcosmapl/dataset_imigrantes/main/noticias_filtered/a_critica/venezuelanos/2022/07_ago/html/1.278990_902.html", "HTML")</f>
        <v/>
      </c>
      <c r="L15">
        <f>HYPERLINK("https://raw.githubusercontent.com/marcosmapl/dataset_imigrantes/main/noticias_filtered/a_critica/venezuelanos/2022/07_ago/txt/1.278990_902.txt", "TXT")</f>
        <v/>
      </c>
    </row>
    <row r="16">
      <c r="A16" s="1" t="n">
        <v>14</v>
      </c>
      <c r="B16" t="n">
        <v>2022</v>
      </c>
      <c r="C16" s="2" t="n">
        <v>44790.64637201389</v>
      </c>
      <c r="D16" t="inlineStr">
        <is>
          <t>G1</t>
        </is>
      </c>
      <c r="E16" t="inlineStr">
        <is>
          <t>VENEZUELANOS</t>
        </is>
      </c>
      <c r="F16" t="inlineStr">
        <is>
          <t>AMAZONAS</t>
        </is>
      </c>
      <c r="G16" t="inlineStr">
        <is>
          <t>G1 AM</t>
        </is>
      </c>
      <c r="H16" t="inlineStr">
        <is>
          <t>VÍTIMAS DE INCÊNDIO EM LOTÉRICA NO CENTRO DE MANAUS SEGUEM INTERNADAS EM ESTADO GRAVE</t>
        </is>
      </c>
      <c r="I16" t="inlineStr">
        <is>
          <t>O FOGO FOI PROVOCADO POR UM VENEZUELANO, QUE TAMBÉM ESTÁ INTERNADO APÓS TER SIDO AGREDIDO.</t>
        </is>
      </c>
      <c r="J16">
        <f>HYPERLINK("https://g1.globo.com/am/amazonas/noticia/2022/08/17/vitimas-de-incendio-em-loterica-no-centro-de-manaus-seguem-internadas-em-estado-grave.ghtml", "URL")</f>
        <v/>
      </c>
      <c r="K16">
        <f>HYPERLINK("https://raw.githubusercontent.com/marcosmapl/dataset_imigrantes/main/noticias_filtered/g1/venezuelanos/2022/07_ago/html/g1_c0a0ec94-2310-11ed-b24f-6dbe51e79fca_2873.html", "HTML")</f>
        <v/>
      </c>
      <c r="L16">
        <f>HYPERLINK("https://raw.githubusercontent.com/marcosmapl/dataset_imigrantes/main/noticias_filtered/g1/venezuelanos/2022/07_ago/txt/g1_c0a0ec94-2310-11ed-b24f-6dbe51e79fca_2873.txt", "TXT")</f>
        <v/>
      </c>
    </row>
    <row r="17">
      <c r="A17" s="1" t="n">
        <v>15</v>
      </c>
      <c r="B17" t="n">
        <v>2022</v>
      </c>
      <c r="C17" s="2" t="n">
        <v>44790.64145107639</v>
      </c>
      <c r="D17" t="inlineStr">
        <is>
          <t>G1</t>
        </is>
      </c>
      <c r="E17" t="inlineStr">
        <is>
          <t>VENEZUELANOS</t>
        </is>
      </c>
      <c r="F17" t="inlineStr">
        <is>
          <t>RORAIMA</t>
        </is>
      </c>
      <c r="G17" t="inlineStr">
        <is>
          <t>G1 RR — BOA VISTA</t>
        </is>
      </c>
      <c r="H17" t="inlineStr">
        <is>
          <t>DOIS HOMENS SÃO MORTOS A TIROS E OUTROS FICAM FERIDOS NA ZONA OESTE DE BOA VISTA</t>
        </is>
      </c>
      <c r="I17" t="inlineStr">
        <is>
          <t>CRIME FOI NA TARDE DESSA QUARTA-FEIRA (17) NO BAIRRO SENADOR HÉLIO CAMPOS.</t>
        </is>
      </c>
      <c r="J17">
        <f>HYPERLINK("https://g1.globo.com/rr/roraima/noticia/2022/08/17/dois-homens-sao-mortos-a-tiros-e-outros-ficam-feridos-na-zona-oeste-de-boa-vista.ghtml", "URL")</f>
        <v/>
      </c>
      <c r="K17">
        <f>HYPERLINK("https://raw.githubusercontent.com/marcosmapl/dataset_imigrantes/main/noticias_filtered/g1/venezuelanos/2022/07_ago/html/g1_4d356aa0-2324-11ed-b24f-6dbe51e79fca_3862.html", "HTML")</f>
        <v/>
      </c>
      <c r="L17">
        <f>HYPERLINK("https://raw.githubusercontent.com/marcosmapl/dataset_imigrantes/main/noticias_filtered/g1/venezuelanos/2022/07_ago/txt/g1_4d356aa0-2324-11ed-b24f-6dbe51e79fca_3862.txt", "TXT")</f>
        <v/>
      </c>
    </row>
    <row r="18">
      <c r="A18" s="1" t="n">
        <v>16</v>
      </c>
      <c r="B18" t="n">
        <v>2022</v>
      </c>
      <c r="C18" s="2" t="n">
        <v>44789.97297965278</v>
      </c>
      <c r="D18" t="inlineStr">
        <is>
          <t>G1</t>
        </is>
      </c>
      <c r="E18" t="inlineStr">
        <is>
          <t>VENEZUELANOS</t>
        </is>
      </c>
      <c r="F18" t="inlineStr">
        <is>
          <t>ESPÍRITO SANTO</t>
        </is>
      </c>
      <c r="G18" t="inlineStr">
        <is>
          <t>ÁLVARO GUARESQUI, G1 ES</t>
        </is>
      </c>
      <c r="H18" t="inlineStr">
        <is>
          <t>VENEZUELANOS DEIXADOS NO ES POR ÔNIBUS DA BAHIA VÃO PARA ABRIGO</t>
        </is>
      </c>
      <c r="I18" t="inlineStr">
        <is>
          <t>PREFEITURA INFORMOU QUE ESTÁ BUSCANDO ALTERNATIVAS LEGAIS PARA O CASO.</t>
        </is>
      </c>
      <c r="J18">
        <f>HYPERLINK("https://g1.globo.com/es/espirito-santo/noticia/2022/08/16/vao-para-abrigo-indigenas-venezuelanos-deixados-no-es-por-onibus-da-bahia.ghtml", "URL")</f>
        <v/>
      </c>
      <c r="K18">
        <f>HYPERLINK("https://raw.githubusercontent.com/marcosmapl/dataset_imigrantes/main/noticias_filtered/g1/venezuelanos/2022/07_ago/html/g1_e59a0896-2324-11ed-b24f-6dbe51e79fca_3888.html", "HTML")</f>
        <v/>
      </c>
      <c r="L18">
        <f>HYPERLINK("https://raw.githubusercontent.com/marcosmapl/dataset_imigrantes/main/noticias_filtered/g1/venezuelanos/2022/07_ago/txt/g1_e59a0896-2324-11ed-b24f-6dbe51e79fca_3888.txt", "TXT")</f>
        <v/>
      </c>
    </row>
    <row r="19">
      <c r="A19" s="1" t="n">
        <v>17</v>
      </c>
      <c r="B19" t="n">
        <v>2022</v>
      </c>
      <c r="C19" s="2" t="n">
        <v>44789.96839150463</v>
      </c>
      <c r="D19" t="inlineStr">
        <is>
          <t>G1</t>
        </is>
      </c>
      <c r="E19" t="inlineStr">
        <is>
          <t>VENEZUELANOS</t>
        </is>
      </c>
      <c r="F19" t="inlineStr">
        <is>
          <t>AMAZONAS</t>
        </is>
      </c>
      <c r="G19" t="inlineStr">
        <is>
          <t>G1 AM</t>
        </is>
      </c>
      <c r="H19" t="inlineStr">
        <is>
          <t>VENEZUELANO SUSPEITO DE INCENDIAR LOTÉRICA EM MANAUS TENTOU COMETER O MESMO CRIME EM 2020, DIZ POLÍCIA</t>
        </is>
      </c>
      <c r="I19" t="inlineStr">
        <is>
          <t>NA ÉPOCA, O SUSPEITO ENTROU EM UMA AGÊNCIA LOTÉRICA QUE FICA DENTRO DE UMA LOJA, NO CENTRO, E ALEGOU QUE TINHA UM BILHETE PREMIADO. AO RECEBER UMA RESPOSTA NEGATIVA, TENTOU ATEAR FOGO NO LOCAL E FOI PRESO.</t>
        </is>
      </c>
      <c r="J19">
        <f>HYPERLINK("https://g1.globo.com/am/amazonas/noticia/2022/08/16/venezuelano-suspeito-de-incendiar-loterica-em-manaus-tentou-cometer-o-mesmo-crime-em-2020-diz-policia.ghtml", "URL")</f>
        <v/>
      </c>
      <c r="K19">
        <f>HYPERLINK("https://raw.githubusercontent.com/marcosmapl/dataset_imigrantes/main/noticias_filtered/g1/venezuelanos/2022/07_ago/html/g1_4f0b9042-2325-11ed-b24f-6dbe51e79fca_3906.html", "HTML")</f>
        <v/>
      </c>
      <c r="L19">
        <f>HYPERLINK("https://raw.githubusercontent.com/marcosmapl/dataset_imigrantes/main/noticias_filtered/g1/venezuelanos/2022/07_ago/txt/g1_4f0b9042-2325-11ed-b24f-6dbe51e79fca_3906.txt", "TXT")</f>
        <v/>
      </c>
    </row>
    <row r="20">
      <c r="A20" s="1" t="n">
        <v>18</v>
      </c>
      <c r="B20" t="n">
        <v>2022</v>
      </c>
      <c r="C20" s="2" t="n">
        <v>44789.93281770833</v>
      </c>
      <c r="D20" t="inlineStr">
        <is>
          <t>G1</t>
        </is>
      </c>
      <c r="E20" t="inlineStr">
        <is>
          <t>VENEZUELANOS</t>
        </is>
      </c>
      <c r="F20" t="inlineStr">
        <is>
          <t>ESPÍRITO SANTO</t>
        </is>
      </c>
      <c r="G20" t="inlineStr">
        <is>
          <t>ÁLVARO GUARESQUI E CAÍQUE VERLI, G1 ES E TV GAZETA — VITÓRIA</t>
        </is>
      </c>
      <c r="H20" t="inlineStr">
        <is>
          <t>'ESTAVA MUITO DIFÍCIL CONSEGUIR COMIDA', DIZ CACIQUE DE INDÍGENAS VENEZUELANOS QUE FORAM DEIXADOS NO ES POR ÔNIBUS CLANDESTINO DA BAHIA</t>
        </is>
      </c>
      <c r="I20" t="inlineStr">
        <is>
          <t>GRUPO COM 25 INDÍGENAS DO POVO WARAO FOI DEIXADO NA RODOVIÁRIA DE VITÓRIA POR ÔNIBUS QUE SAIU DO MUNICÍPIO BAIANO DE TEIXEIRA DE FREITAS. SEGUNDO O CACIQUE, A FOME FOI O MOTIVO QUE LEVOU O GRUPO A DEIXAR A VENEZUELA RUMO AO BRASIL.</t>
        </is>
      </c>
      <c r="J20">
        <f>HYPERLINK("https://g1.globo.com/es/espirito-santo/noticia/2022/08/16/estava-muito-dificil-conseguir-comida-diz-cacique-de-indigenas-venezuelanos-que-foram-deixados-no-es-por-onibus-clandestino-da-bahia.ghtml", "URL")</f>
        <v/>
      </c>
      <c r="K20">
        <f>HYPERLINK("https://raw.githubusercontent.com/marcosmapl/dataset_imigrantes/main/noticias_filtered/g1/venezuelanos/2022/07_ago/html/g1_86cf36c0-230f-11ed-b24f-6dbe51e79fca_2801.html", "HTML")</f>
        <v/>
      </c>
      <c r="L20">
        <f>HYPERLINK("https://raw.githubusercontent.com/marcosmapl/dataset_imigrantes/main/noticias_filtered/g1/venezuelanos/2022/07_ago/txt/g1_86cf36c0-230f-11ed-b24f-6dbe51e79fca_2801.txt", "TXT")</f>
        <v/>
      </c>
    </row>
    <row r="21">
      <c r="A21" s="1" t="n">
        <v>19</v>
      </c>
      <c r="B21" t="n">
        <v>2022</v>
      </c>
      <c r="C21" s="2" t="n">
        <v>44789.80668981482</v>
      </c>
      <c r="D21" t="inlineStr">
        <is>
          <t>A CRITICA</t>
        </is>
      </c>
      <c r="E21" t="inlineStr">
        <is>
          <t>VENEZUELANOS</t>
        </is>
      </c>
      <c r="F21" t="inlineStr">
        <is>
          <t>POLICIA</t>
        </is>
      </c>
      <c r="G21" t="inlineStr">
        <is>
          <t>AMARILES GAMA</t>
        </is>
      </c>
      <c r="H21" t="inlineStr">
        <is>
          <t>TAXISTA QUE LEVOU INCENDIÁRIO ATÉ O ADOLPHO LISBOA É OUVIDO PELA POLÍCIA</t>
        </is>
      </c>
      <c r="I21" t="inlineStr">
        <is>
          <t>POLÍCIA NÃO QUIS DAR DETALHES DA INVESTIGAÇÃO. ALÉM DO PRÓPRIO INCENDIÁRIO, LUIZ DOMINGO SISO, DE 60 ANOS, QUATRO FUNCIONÁRIOS DA LOTÉRICA ESTÃO INTERNADOS EM ESTADO GRAVE POR CONTA DAS QUEIMADURAS</t>
        </is>
      </c>
      <c r="J21">
        <f>HYPERLINK("https://www.acritica.com/policia/taxista-que-levou-incendiario-ate-o-adolpho-lisboa-e-ouvido-pela-policia-1.278910", "URL")</f>
        <v/>
      </c>
      <c r="K21">
        <f>HYPERLINK("https://raw.githubusercontent.com/marcosmapl/dataset_imigrantes/main/noticias_filtered/a_critica/venezuelanos/2022/07_ago/html/1.278910_590.html", "HTML")</f>
        <v/>
      </c>
      <c r="L21">
        <f>HYPERLINK("https://raw.githubusercontent.com/marcosmapl/dataset_imigrantes/main/noticias_filtered/a_critica/venezuelanos/2022/07_ago/txt/1.278910_590.txt", "TXT")</f>
        <v/>
      </c>
    </row>
    <row r="22">
      <c r="A22" s="1" t="n">
        <v>20</v>
      </c>
      <c r="B22" t="n">
        <v>2022</v>
      </c>
      <c r="C22" s="2" t="n">
        <v>44789.7651774074</v>
      </c>
      <c r="D22" t="inlineStr">
        <is>
          <t>G1</t>
        </is>
      </c>
      <c r="E22" t="inlineStr">
        <is>
          <t>VENEZUELANOS</t>
        </is>
      </c>
      <c r="F22" t="inlineStr">
        <is>
          <t>AMAZONAS</t>
        </is>
      </c>
      <c r="G22" t="inlineStr">
        <is>
          <t>G1*</t>
        </is>
      </c>
      <c r="H22" t="inlineStr">
        <is>
          <t>INCÊNDIO EM LOTÉRICA NO MERCADO MUNICIPAL DE MANAUS DEIXA FERIDOS</t>
        </is>
      </c>
      <c r="I22" t="inlineStr">
        <is>
          <t>SEGUNDO O CORPO DE BOMBEIROS, OS FERIDOS FORAM LEVADOS PELA POPULAÇÃO PARA O HOSPITAL PRONTO-SOCORRO 28 DE AGOSTO, NA ZONA CENTRO-SUL DA CAPITAL.</t>
        </is>
      </c>
      <c r="J22">
        <f>HYPERLINK("https://g1.globo.com/am/amazonas/noticia/2022/08/16/incendio-em-loterica-no-mercado-municipal-de-manaus-deixa-feridos.ghtml", "URL")</f>
        <v/>
      </c>
      <c r="K22">
        <f>HYPERLINK("https://raw.githubusercontent.com/marcosmapl/dataset_imigrantes/main/noticias_filtered/g1/venezuelanos/2022/07_ago/html/g1_da73369a-230b-11ed-b24f-6dbe51e79fca_2591.html", "HTML")</f>
        <v/>
      </c>
      <c r="L22">
        <f>HYPERLINK("https://raw.githubusercontent.com/marcosmapl/dataset_imigrantes/main/noticias_filtered/g1/venezuelanos/2022/07_ago/txt/g1_da73369a-230b-11ed-b24f-6dbe51e79fca_2591.txt", "TXT")</f>
        <v/>
      </c>
    </row>
    <row r="23">
      <c r="A23" s="1" t="n">
        <v>21</v>
      </c>
      <c r="B23" t="n">
        <v>2022</v>
      </c>
      <c r="C23" s="2" t="n">
        <v>44789.71084490741</v>
      </c>
      <c r="D23" t="inlineStr">
        <is>
          <t>A CRITICA</t>
        </is>
      </c>
      <c r="E23" t="inlineStr">
        <is>
          <t>VENEZUELANOS</t>
        </is>
      </c>
      <c r="F23" t="inlineStr">
        <is>
          <t>POLICIA</t>
        </is>
      </c>
      <c r="G23" t="inlineStr">
        <is>
          <t>NATASHA PINTO</t>
        </is>
      </c>
      <c r="H23" t="inlineStr">
        <is>
          <t>VÍTIMAS EM ESTADO GRAVE APÓS INCÊNDIO NO ADOLPHO LISBOA SÃO FUNCIONÁRIOS DE LOTÉRICA</t>
        </is>
      </c>
      <c r="I23" t="inlineStr">
        <is>
          <t>HENISON DIOGO DA SILVA, 33,  ADRIELEN MOTA DE ASSIS, 35, CARLOS HENRIQUE DA SILVA COSTA, 50, E STEPHANIE DO NASCIMENTO LIMA, 23, ESTÃO INTERNADOS NO HOSPITAL E PRONTO-SOCORRO 28 DE AGOSTO</t>
        </is>
      </c>
      <c r="J23">
        <f>HYPERLINK("https://www.acritica.com/policia/vitimas-em-estado-grave-apos-incendio-no-adolpho-lisboa-s-o-funcionarios-de-loterica-1.278889", "URL")</f>
        <v/>
      </c>
      <c r="K23">
        <f>HYPERLINK("https://raw.githubusercontent.com/marcosmapl/dataset_imigrantes/main/noticias_filtered/a_critica/venezuelanos/2022/07_ago/html/1.278889_964.html", "HTML")</f>
        <v/>
      </c>
      <c r="L23">
        <f>HYPERLINK("https://raw.githubusercontent.com/marcosmapl/dataset_imigrantes/main/noticias_filtered/a_critica/venezuelanos/2022/07_ago/txt/1.278889_964.txt", "TXT")</f>
        <v/>
      </c>
    </row>
    <row r="24">
      <c r="A24" s="1" t="n">
        <v>22</v>
      </c>
      <c r="B24" t="n">
        <v>2022</v>
      </c>
      <c r="C24" s="2" t="n">
        <v>44789.7006555787</v>
      </c>
      <c r="D24" t="inlineStr">
        <is>
          <t>G1</t>
        </is>
      </c>
      <c r="E24" t="inlineStr">
        <is>
          <t>VENEZUELANOS</t>
        </is>
      </c>
      <c r="F24" t="inlineStr">
        <is>
          <t>ESPÍRITO SANTO</t>
        </is>
      </c>
      <c r="G24" t="inlineStr">
        <is>
          <t>FABIANA OLIVEIRA, G1 ES</t>
        </is>
      </c>
      <c r="H24" t="inlineStr">
        <is>
          <t>VENEZUELANOS DEIXADOS EM RODOVIÁRIA DO ES AINDA NÃO TÊM PARA ONDE IR: 'O ÔNIBUS DEIXOU A GENTE PARA TRÁS'</t>
        </is>
      </c>
      <c r="I24" t="inlineStr">
        <is>
          <t>ÔNIBUS COM CERCA DE 20 VENEZUELANOS, ENTRE ADULTOS E CRIANÇAS, CHEGOU À RODOVIÁRIA POR VOLTA DE 3H DESTA TERÇA (16). ELES SÃO INDÍGENAS DA ETNIA WARAO E TÊM DIFICULDADES PARA ENTENDER PORTUGUÊS.</t>
        </is>
      </c>
      <c r="J24">
        <f>HYPERLINK("https://g1.globo.com/es/espirito-santo/noticia/2022/08/16/venezuelanos-deixados-em-rodoviaria-do-es-ainda-nao-tem-para-onde-ir-o-onibus-deixou-a-gente-para-tras.ghtml", "URL")</f>
        <v/>
      </c>
      <c r="K24">
        <f>HYPERLINK("https://raw.githubusercontent.com/marcosmapl/dataset_imigrantes/main/noticias_filtered/g1/venezuelanos/2022/07_ago/html/g1_c9eb7aaa-232c-11ed-b24f-6dbe51e79fca_4325.html", "HTML")</f>
        <v/>
      </c>
      <c r="L24">
        <f>HYPERLINK("https://raw.githubusercontent.com/marcosmapl/dataset_imigrantes/main/noticias_filtered/g1/venezuelanos/2022/07_ago/txt/g1_c9eb7aaa-232c-11ed-b24f-6dbe51e79fca_4325.txt", "TXT")</f>
        <v/>
      </c>
    </row>
    <row r="25">
      <c r="A25" s="1" t="n">
        <v>23</v>
      </c>
      <c r="B25" t="n">
        <v>2022</v>
      </c>
      <c r="C25" s="2" t="n">
        <v>44789.66300925926</v>
      </c>
      <c r="D25" t="inlineStr">
        <is>
          <t>A CRITICA</t>
        </is>
      </c>
      <c r="E25" t="inlineStr">
        <is>
          <t>VENEZUELANOS</t>
        </is>
      </c>
      <c r="F25" t="inlineStr">
        <is>
          <t>POLICIA</t>
        </is>
      </c>
      <c r="G25" t="inlineStr">
        <is>
          <t>MICHAEL DOUGLAS</t>
        </is>
      </c>
      <c r="H25" t="inlineStr">
        <is>
          <t>EM ESTADO GRAVE APÓS AGRESSÕES, INCENDIÁRIO JÁ FOI PRESO POR ATIRAR PEDRAS EM LOTÉRICA EM 2020</t>
        </is>
      </c>
      <c r="I25" t="inlineStr">
        <is>
          <t>LUIZ DOMINGOS SISO, DE 60 ANOS, JÁ HAVIA SIDO PRESO EM AGOSTO DE 2020 APÓS ATIRAR PEDRAS EM UMA LOTÉRICA E AINDA RESISTIU A ABORDAGEM POLICIAL. ELE, ALÉM DE QUATRO VÍTIMAS, ESTÃO EM ESTADO GRAVE.</t>
        </is>
      </c>
      <c r="J25">
        <f>HYPERLINK("https://www.acritica.com/policia/em-estado-grave-apos-agress-es-incendiario-ja-foi-preso-por-atirar-pedras-em-loterica-em-2020-1.278876", "URL")</f>
        <v/>
      </c>
      <c r="K25">
        <f>HYPERLINK("https://raw.githubusercontent.com/marcosmapl/dataset_imigrantes/main/noticias_filtered/a_critica/venezuelanos/2022/07_ago/html/1.278876_237.html", "HTML")</f>
        <v/>
      </c>
      <c r="L25">
        <f>HYPERLINK("https://raw.githubusercontent.com/marcosmapl/dataset_imigrantes/main/noticias_filtered/a_critica/venezuelanos/2022/07_ago/txt/1.278876_237.txt", "TXT")</f>
        <v/>
      </c>
    </row>
    <row r="26">
      <c r="A26" s="1" t="n">
        <v>24</v>
      </c>
      <c r="B26" t="n">
        <v>2022</v>
      </c>
      <c r="C26" s="2" t="n">
        <v>44789.58209886574</v>
      </c>
      <c r="D26" t="inlineStr">
        <is>
          <t>G1</t>
        </is>
      </c>
      <c r="E26" t="inlineStr">
        <is>
          <t>VENEZUELANOS</t>
        </is>
      </c>
      <c r="F26" t="inlineStr">
        <is>
          <t>ESPÍRITO SANTO</t>
        </is>
      </c>
      <c r="G26" t="inlineStr">
        <is>
          <t>FABIANA OLIVEIRA, G1 ES</t>
        </is>
      </c>
      <c r="H26" t="inlineStr">
        <is>
          <t>GRUPO DE VENEZUELANOS INDÍGENAS CHEGA DA BAHIA AO ES EM ÔNIBUS CLANDESTINO E É DEIXADO EM RODOVIÁRIA</t>
        </is>
      </c>
      <c r="I26" t="inlineStr">
        <is>
          <t>ÔNIBUS COM CERCA DE 20 VENEZUELANOS, ENTRE ADULTOS E CRIANÇAS, CHEGOU À RODOVIÁRIA POR VOLTA DE 3H. ELES SÃO INDÍGENAS DA ETNIA WARAO E TÊM DIFICULDADES PARA ENTENDER PORTUGUÊS.</t>
        </is>
      </c>
      <c r="J26">
        <f>HYPERLINK("https://g1.globo.com/es/espirito-santo/noticia/2022/08/16/grupo-de-venezuelanos-indigenas-chega-da-bahia-ao-es-em-onibus-clandestino-e-e-deixado-em-rodoviaria.ghtml", "URL")</f>
        <v/>
      </c>
      <c r="K26">
        <f>HYPERLINK("https://raw.githubusercontent.com/marcosmapl/dataset_imigrantes/main/noticias_filtered/g1/venezuelanos/2022/07_ago/html/g1_f9f2879e-230d-11ed-b24f-6dbe51e79fca_2714.html", "HTML")</f>
        <v/>
      </c>
      <c r="L26">
        <f>HYPERLINK("https://raw.githubusercontent.com/marcosmapl/dataset_imigrantes/main/noticias_filtered/g1/venezuelanos/2022/07_ago/txt/g1_f9f2879e-230d-11ed-b24f-6dbe51e79fca_2714.txt", "TXT")</f>
        <v/>
      </c>
    </row>
    <row r="27">
      <c r="A27" s="1" t="n">
        <v>25</v>
      </c>
      <c r="B27" t="n">
        <v>2022</v>
      </c>
      <c r="C27" s="2" t="n">
        <v>44787.5816053588</v>
      </c>
      <c r="D27" t="inlineStr">
        <is>
          <t>G1</t>
        </is>
      </c>
      <c r="E27" t="inlineStr">
        <is>
          <t>VENEZUELANOS</t>
        </is>
      </c>
      <c r="F27" t="inlineStr">
        <is>
          <t>AMAZONAS</t>
        </is>
      </c>
      <c r="G27" t="inlineStr">
        <is>
          <t>G1 AM</t>
        </is>
      </c>
      <c r="H27" t="inlineStr">
        <is>
          <t>UNIDADES DE SAÚDE DE MANAUS TERÃO INFORMATIVOS DE EDUCAÇÃO EM ESPANHOL E WARAO</t>
        </is>
      </c>
      <c r="I27" t="inlineStr">
        <is>
          <t>AÇÃO TEM INTUITO DE BENEFICIAR MIGRANTES E REFUGIADOS VENEZUELANOS QUE SÃO USUÁRIOS DO SISTEMA ÚNICO DE SAÚDE (SUS) NA CIDADE.</t>
        </is>
      </c>
      <c r="J27">
        <f>HYPERLINK("https://g1.globo.com/am/amazonas/noticia/2022/08/14/unidades-de-saude-de-manaus-terao-informativos-de-educacao-em-espanhol-e-warao.ghtml", "URL")</f>
        <v/>
      </c>
      <c r="K27">
        <f>HYPERLINK("https://raw.githubusercontent.com/marcosmapl/dataset_imigrantes/main/noticias_filtered/g1/venezuelanos/2022/07_ago/html/g1_d02b8672-230d-11ed-b24f-6dbe51e79fca_2706.html", "HTML")</f>
        <v/>
      </c>
      <c r="L27">
        <f>HYPERLINK("https://raw.githubusercontent.com/marcosmapl/dataset_imigrantes/main/noticias_filtered/g1/venezuelanos/2022/07_ago/txt/g1_d02b8672-230d-11ed-b24f-6dbe51e79fca_2706.txt", "TXT")</f>
        <v/>
      </c>
    </row>
    <row r="28">
      <c r="A28" s="1" t="n">
        <v>26</v>
      </c>
      <c r="B28" t="n">
        <v>2022</v>
      </c>
      <c r="C28" s="2" t="n">
        <v>44787.51384259259</v>
      </c>
      <c r="D28" t="inlineStr">
        <is>
          <t>A CRITICA</t>
        </is>
      </c>
      <c r="E28" t="inlineStr">
        <is>
          <t>VENEZUELANOS</t>
        </is>
      </c>
      <c r="F28" t="inlineStr">
        <is>
          <t>MANAUS</t>
        </is>
      </c>
      <c r="G28" t="inlineStr">
        <is>
          <t>NATASHA PINTO</t>
        </is>
      </c>
      <c r="H28" t="inlineStr">
        <is>
          <t>INCÊNDIO DESTRÓI MARCENARIA E CAUSA PREJUÍZO DE APROXIMADAMENTE R$20 MIL</t>
        </is>
      </c>
      <c r="I28" t="inlineStr">
        <is>
          <t>DOZE VENEZUELANOS TRABALHAVAM NO LOCAL E FICARAM SEM EMPREGOS POR CONTA DO SINISTRO</t>
        </is>
      </c>
      <c r="J28">
        <f>HYPERLINK("https://www.acritica.com/manaus/incendio-destroi-marcenaria-e-causa-prejuizo-de-aproximadamente-r-20-mil-1.278683", "URL")</f>
        <v/>
      </c>
      <c r="K28">
        <f>HYPERLINK("https://raw.githubusercontent.com/marcosmapl/dataset_imigrantes/main/noticias_filtered/a_critica/venezuelanos/2022/07_ago/html/1.278683_620.html", "HTML")</f>
        <v/>
      </c>
      <c r="L28">
        <f>HYPERLINK("https://raw.githubusercontent.com/marcosmapl/dataset_imigrantes/main/noticias_filtered/a_critica/venezuelanos/2022/07_ago/txt/1.278683_620.txt", "TXT")</f>
        <v/>
      </c>
    </row>
    <row r="29">
      <c r="A29" s="1" t="n">
        <v>27</v>
      </c>
      <c r="B29" t="n">
        <v>2022</v>
      </c>
      <c r="C29" s="2" t="n">
        <v>44786.79670881944</v>
      </c>
      <c r="D29" t="inlineStr">
        <is>
          <t>G1</t>
        </is>
      </c>
      <c r="E29" t="inlineStr">
        <is>
          <t>HAITIANOS</t>
        </is>
      </c>
      <c r="F29" t="inlineStr">
        <is>
          <t>TRIÂNGULO E ALTO PARANAÍBA</t>
        </is>
      </c>
      <c r="G29" t="inlineStr">
        <is>
          <t>G1 TRIÂNGULO E ALTO PARANAÍBA — UBERLÂNDIA</t>
        </is>
      </c>
      <c r="H29" t="inlineStr">
        <is>
          <t>FOGO DESTRÓI CÔMODO DE CASA DE HAITIANOS NO BAIRRO TIBERY EM UBERLÂNDIA</t>
        </is>
      </c>
      <c r="I29" t="inlineStr">
        <is>
          <t>OCORRÊNCIA FOI REGISTRADA NA TARDE DESTE SÁBADO (13). SUSPEITA É QUE CRIANÇA DE TRÊS ANOS TENHA INICIADO O FOGO EM UM COLCHÃO.</t>
        </is>
      </c>
      <c r="J29">
        <f>HYPERLINK("https://g1.globo.com/mg/triangulo-mineiro/noticia/2022/08/13/fogo-destroi-comodo-de-casa-de-haitianos-no-bairro-tibery-em-uberlandia.ghtml", "URL")</f>
        <v/>
      </c>
      <c r="K29">
        <f>HYPERLINK("https://raw.githubusercontent.com/marcosmapl/dataset_imigrantes/main/noticias_filtered/g1/haitianos/2022/07_ago/html/g1_085dcade-22f3-11ed-b24f-6dbe51e79fca_1821.html", "HTML")</f>
        <v/>
      </c>
      <c r="L29">
        <f>HYPERLINK("https://raw.githubusercontent.com/marcosmapl/dataset_imigrantes/main/noticias_filtered/g1/haitianos/2022/07_ago/txt/g1_085dcade-22f3-11ed-b24f-6dbe51e79fca_1821.txt", "TXT")</f>
        <v/>
      </c>
    </row>
    <row r="30">
      <c r="A30" s="1" t="n">
        <v>28</v>
      </c>
      <c r="B30" t="n">
        <v>2022</v>
      </c>
      <c r="C30" s="2" t="n">
        <v>44786.77250148148</v>
      </c>
      <c r="D30" t="inlineStr">
        <is>
          <t>G1</t>
        </is>
      </c>
      <c r="E30" t="inlineStr">
        <is>
          <t>VENEZUELANOS</t>
        </is>
      </c>
      <c r="F30" t="inlineStr">
        <is>
          <t>SANTA CATARINA</t>
        </is>
      </c>
      <c r="G30" t="inlineStr">
        <is>
          <t>CLARÌSSA BATÌSTELA, BIANCA BERTOLI, FELIPE SALES E TALITA CATIE, G1 SC E NSC</t>
        </is>
      </c>
      <c r="H30" t="inlineStr">
        <is>
          <t>MÃES PERDEM GUARDA, TÊM FILHOS COLOCADOS PARA ADOÇÃO EM SC E DENUNCIAM VIOLAÇÃO DE DIREITOS</t>
        </is>
      </c>
      <c r="I30" t="inlineStr">
        <is>
          <t>CARTAS COM RELATOS DE MÃES SÃO ENCAMINHADAS DESDE JUNHO À COMISSÃO DE DIREITOS HUMANOS DA OAB DE BLUMENAU.</t>
        </is>
      </c>
      <c r="J30">
        <f>HYPERLINK("https://g1.globo.com/sc/santa-catarina/noticia/2022/08/13/maes-perdem-guarda-tem-filhos-colocados-para-adocao-e-denunciam-violacao-de-direitos-em-sc.ghtml", "URL")</f>
        <v/>
      </c>
      <c r="K30">
        <f>HYPERLINK("https://raw.githubusercontent.com/marcosmapl/dataset_imigrantes/main/noticias_filtered/g1/venezuelanos/2022/07_ago/html/g1_8b7894da-2307-11ed-b24f-6dbe51e79fca_2325.html", "HTML")</f>
        <v/>
      </c>
      <c r="L30">
        <f>HYPERLINK("https://raw.githubusercontent.com/marcosmapl/dataset_imigrantes/main/noticias_filtered/g1/venezuelanos/2022/07_ago/txt/g1_8b7894da-2307-11ed-b24f-6dbe51e79fca_2325.txt", "TXT")</f>
        <v/>
      </c>
    </row>
    <row r="31">
      <c r="A31" s="1" t="n">
        <v>29</v>
      </c>
      <c r="B31" t="n">
        <v>2022</v>
      </c>
      <c r="C31" s="2" t="n">
        <v>44786.29204771991</v>
      </c>
      <c r="D31" t="inlineStr">
        <is>
          <t>G1</t>
        </is>
      </c>
      <c r="E31" t="inlineStr">
        <is>
          <t>VENEZUELANOS</t>
        </is>
      </c>
      <c r="F31" t="inlineStr">
        <is>
          <t>RIO DE JANEIRO</t>
        </is>
      </c>
      <c r="G31" t="inlineStr">
        <is>
          <t>MARCO ANTÔNIO MARTINS, G1 RIO</t>
        </is>
      </c>
      <c r="H31" t="inlineStr">
        <is>
          <t>QUEM É PILOTO? COMPARSA DE PABLO ESCOBAR FOI CONDENADO POR TRÁFICO E HOJE OPERA QUADRILHA DE GLAIDSON NOS EUA</t>
        </is>
      </c>
      <c r="I31" t="inlineStr">
        <is>
          <t>COM BREVÊ DE COMANDANTE DE VOO, BRASILEIRO DEIXOU O PAÍS EM 2021 COM PASSAPORTE FALSO E DESDE ENTÃO É UMA ESPÉCIE DE ASSISTENTE PESSOAL DO FARAÓ DOS BITCOINS NO EXTERIOR. PILOTO ABRIU UMA EMPRESA EM SOLO AMERICANO, ENVIOU ÓLEO DE CANABIDIOL PARA O BRASIL E ARRUMOU GAROTAS DE PROGRAMA PARA GLAIDSON.</t>
        </is>
      </c>
      <c r="J31">
        <f>HYPERLINK("https://g1.globo.com/rj/rio-de-janeiro/noticia/2022/08/13/quem-e-piloto-condenado-por-trafico-de-drogas-e-que-da-suporte-a-quadrilha-de-glaidson-nos-estados-unidos.ghtml", "URL")</f>
        <v/>
      </c>
      <c r="K31">
        <f>HYPERLINK("https://raw.githubusercontent.com/marcosmapl/dataset_imigrantes/main/noticias_filtered/g1/venezuelanos/2022/07_ago/html/g1_ef2433b8-230c-11ed-b24f-6dbe51e79fca_2658.html", "HTML")</f>
        <v/>
      </c>
      <c r="L31">
        <f>HYPERLINK("https://raw.githubusercontent.com/marcosmapl/dataset_imigrantes/main/noticias_filtered/g1/venezuelanos/2022/07_ago/txt/g1_ef2433b8-230c-11ed-b24f-6dbe51e79fca_2658.txt", "TXT")</f>
        <v/>
      </c>
    </row>
    <row r="32">
      <c r="A32" s="1" t="n">
        <v>30</v>
      </c>
      <c r="B32" t="n">
        <v>2022</v>
      </c>
      <c r="C32" s="2" t="n">
        <v>44786.03116175926</v>
      </c>
      <c r="D32" t="inlineStr">
        <is>
          <t>G1</t>
        </is>
      </c>
      <c r="E32" t="inlineStr">
        <is>
          <t>VENEZUELANOS</t>
        </is>
      </c>
      <c r="F32" t="inlineStr">
        <is>
          <t>PARANÁ</t>
        </is>
      </c>
      <c r="G32" t="inlineStr">
        <is>
          <t>G1 PR E RPC CURITIBA — CURITIBA</t>
        </is>
      </c>
      <c r="H32" t="inlineStr">
        <is>
          <t>MAIS DE 13 MIL VENEZUELANOS TENTAM CONSTRUIR A VIDA NO PARANÁ</t>
        </is>
      </c>
      <c r="I32" t="inlineStr">
        <is>
          <t>EM CURITIBA, SEGUNDA CIDADE DO PAÍS QUE MAIS RECEBE VENEZUELANOS DESDE 2018, SERVIÇO DÁ ORIENTAÇÕES E ENCAMINHA IMIGRANTES PARA CADASTROS SOCIAIS.</t>
        </is>
      </c>
      <c r="J32">
        <f>HYPERLINK("https://g1.globo.com/pr/parana/noticia/2022/08/12/mais-de-13-mil-venezuelanos-tentam-construir-a-vida-no-parana.ghtml", "URL")</f>
        <v/>
      </c>
      <c r="K32">
        <f>HYPERLINK("https://raw.githubusercontent.com/marcosmapl/dataset_imigrantes/main/noticias_filtered/g1/venezuelanos/2022/07_ago/html/g1_ecd1892a-232b-11ed-b24f-6dbe51e79fca_4278.html", "HTML")</f>
        <v/>
      </c>
      <c r="L32">
        <f>HYPERLINK("https://raw.githubusercontent.com/marcosmapl/dataset_imigrantes/main/noticias_filtered/g1/venezuelanos/2022/07_ago/txt/g1_ecd1892a-232b-11ed-b24f-6dbe51e79fca_4278.txt", "TXT")</f>
        <v/>
      </c>
    </row>
    <row r="33">
      <c r="A33" s="1" t="n">
        <v>31</v>
      </c>
      <c r="B33" t="n">
        <v>2022</v>
      </c>
      <c r="C33" s="2" t="n">
        <v>44785.91861625</v>
      </c>
      <c r="D33" t="inlineStr">
        <is>
          <t>G1</t>
        </is>
      </c>
      <c r="E33" t="inlineStr">
        <is>
          <t>VENEZUELANOS</t>
        </is>
      </c>
      <c r="F33" t="inlineStr">
        <is>
          <t>RIO DE JANEIRO</t>
        </is>
      </c>
      <c r="G33" t="inlineStr">
        <is>
          <t>MARCO ANTÔNIO MARTINS, G1 RIO</t>
        </is>
      </c>
      <c r="H33" t="inlineStr">
        <is>
          <t>MULHER DE GLAIDSON COMANDA A QUADRILHA DOS EUA, DIZ PF</t>
        </is>
      </c>
      <c r="I33" t="inlineStr">
        <is>
          <t>MESMO FORAGIDA DA JUSTIÇA, MIRELIS ZERPA VEM ATUANDO NA GESTÃO REMOTA DA PRÉ-CANDIDATURA DO MARIDO A DEPUTADO FEDERAL E NOS NEGÓCIOS DO FARAÓ DOS BITCOINS.</t>
        </is>
      </c>
      <c r="J33">
        <f>HYPERLINK("https://g1.globo.com/rj/rio-de-janeiro/noticia/2022/08/12/mulher-de-glaidson-comanda-a-quadrilha-dos-estados-unidos-diz-pf.ghtml", "URL")</f>
        <v/>
      </c>
      <c r="K33">
        <f>HYPERLINK("https://raw.githubusercontent.com/marcosmapl/dataset_imigrantes/main/noticias_filtered/g1/venezuelanos/2022/07_ago/html/g1_95c31950-2317-11ed-b24f-6dbe51e79fca_3218.html", "HTML")</f>
        <v/>
      </c>
      <c r="L33">
        <f>HYPERLINK("https://raw.githubusercontent.com/marcosmapl/dataset_imigrantes/main/noticias_filtered/g1/venezuelanos/2022/07_ago/txt/g1_95c31950-2317-11ed-b24f-6dbe51e79fca_3218.txt", "TXT")</f>
        <v/>
      </c>
    </row>
    <row r="34">
      <c r="A34" s="1" t="n">
        <v>32</v>
      </c>
      <c r="B34" t="n">
        <v>2022</v>
      </c>
      <c r="C34" s="2" t="n">
        <v>44785.70763888889</v>
      </c>
      <c r="D34" t="inlineStr">
        <is>
          <t>PORTAL AMAZONIA</t>
        </is>
      </c>
      <c r="E34" t="inlineStr">
        <is>
          <t>VENEZUELANOS</t>
        </is>
      </c>
      <c r="F34" t="inlineStr">
        <is>
          <t>FRAM</t>
        </is>
      </c>
      <c r="G34" t="inlineStr">
        <is>
          <t>GABRIELY SANTOS - GABRIELY.SANTOS@FRAM.ORG.BR</t>
        </is>
      </c>
      <c r="H34" t="inlineStr">
        <is>
          <t>CONFIRA A LISTA DE PROJETOS APROVADOS PARA O 1º EDITAL DE ACELERAÇÃO DA REDE IGAPÓ EM CORREALIZAÇÃO COM FUNDAÇÃO REDE AMAZÔNICA</t>
        </is>
      </c>
      <c r="I34" t="inlineStr">
        <is>
          <t>OS EMPREENDEDORES SOCIAIS FORAM SELECIONADOS PELO 1º EDITAL DE ACELERAÇÃO DA REDE IGAPÓ PARA PROPONENTES DA AMAZÔNIA LEGAL E JÁ INICIARAM A ETAPA DE CAPACITAÇÃO EM MECANISMOS DE INCENTIVO FISCAL.</t>
        </is>
      </c>
      <c r="J34">
        <f>HYPERLINK("https://portalamazonia.com/fram/confira-a-lista-de-projetos-aprovados-para-o-1-edital-de-aceleracao-da-rede-igapo-em-correalizacao-com-fundacao-rede-amazonica-1", "URL")</f>
        <v/>
      </c>
      <c r="K34">
        <f>HYPERLINK("https://raw.githubusercontent.com/marcosmapl/dataset_imigrantes/main/noticias_filtered/portal_amazonia/venezuelanos/2022/07_ago/html/36302.88505_1503.html", "HTML")</f>
        <v/>
      </c>
      <c r="L34">
        <f>HYPERLINK("https://raw.githubusercontent.com/marcosmapl/dataset_imigrantes/main/noticias_filtered/portal_amazonia/venezuelanos/2022/07_ago/txt/36302.88505_1503.txt", "TXT")</f>
        <v/>
      </c>
    </row>
    <row r="35">
      <c r="A35" s="1" t="n">
        <v>33</v>
      </c>
      <c r="B35" t="n">
        <v>2022</v>
      </c>
      <c r="C35" s="2" t="n">
        <v>44785.45995706019</v>
      </c>
      <c r="D35" t="inlineStr">
        <is>
          <t>G1</t>
        </is>
      </c>
      <c r="E35" t="inlineStr">
        <is>
          <t>VENEZUELANOS</t>
        </is>
      </c>
      <c r="F35" t="inlineStr">
        <is>
          <t>BAHIA</t>
        </is>
      </c>
      <c r="G35" t="inlineStr">
        <is>
          <t>G1 BA</t>
        </is>
      </c>
      <c r="H35" t="inlineStr">
        <is>
          <t>POLÍCIA DE PORTUGAL ABRE INQUÉRITO PARA INVESTIGAR AGRESSÃO A BRASILEIRO EXPULSO DE BOATE</t>
        </is>
      </c>
      <c r="I35" t="inlineStr">
        <is>
          <t>VÍTIMA NASCEU EM ILHÉUS, NO SUL DA BAHIA, E MORA NA CIDADE DE FARO HÁ TRÊS ANOS.</t>
        </is>
      </c>
      <c r="J35">
        <f>HYPERLINK("https://g1.globo.com/ba/bahia/noticia/2022/08/12/policia-de-portugal-investiga-abriu-inquerito-para-investigar-agressao-a-brasileiro-expulso-de-boate.ghtml", "URL")</f>
        <v/>
      </c>
      <c r="K35">
        <f>HYPERLINK("https://raw.githubusercontent.com/marcosmapl/dataset_imigrantes/main/noticias_filtered/g1/venezuelanos/2022/07_ago/html/g1_8d577318-230f-11ed-b24f-6dbe51e79fca_2803.html", "HTML")</f>
        <v/>
      </c>
      <c r="L35">
        <f>HYPERLINK("https://raw.githubusercontent.com/marcosmapl/dataset_imigrantes/main/noticias_filtered/g1/venezuelanos/2022/07_ago/txt/g1_8d577318-230f-11ed-b24f-6dbe51e79fca_2803.txt", "TXT")</f>
        <v/>
      </c>
    </row>
    <row r="36">
      <c r="A36" s="1" t="n">
        <v>34</v>
      </c>
      <c r="B36" t="n">
        <v>2022</v>
      </c>
      <c r="C36" s="2" t="n">
        <v>44785.33267591435</v>
      </c>
      <c r="D36" t="inlineStr">
        <is>
          <t>G1</t>
        </is>
      </c>
      <c r="E36" t="inlineStr">
        <is>
          <t>HAITIANOS</t>
        </is>
      </c>
      <c r="F36" t="inlineStr">
        <is>
          <t>SANTOS E REGIÃO</t>
        </is>
      </c>
      <c r="G36" t="inlineStr">
        <is>
          <t>MAURÍCIO MARTINS, G1 SANTOS</t>
        </is>
      </c>
      <c r="H36" t="inlineStr">
        <is>
          <t>PRESIDENTE DE ONG QUE ATUA NO BRASIL É ACUSADO DE DAR GOLPE DE R$ 800 MIL EM 300 HAITIANOS</t>
        </is>
      </c>
      <c r="I36" t="inlineStr">
        <is>
          <t>CHERUBIN MATINEAU, DA ORGANIZAÇÃO DOS HAITIANOS QUE VIVEM NO BRASIL, TERIA SUMIDO COM O DINHEIRO DE PASSAGENS AÉREAS PARA 300 PESSOAS.</t>
        </is>
      </c>
      <c r="J36">
        <f>HYPERLINK("https://g1.globo.com/sp/santos-regiao/noticia/2022/08/12/presidente-de-ong-que-representa-refugiados-haitianos-no-brasil-e-acusado-de-golpe-de-quase-r-1-milhao.ghtml", "URL")</f>
        <v/>
      </c>
      <c r="K36">
        <f>HYPERLINK("https://raw.githubusercontent.com/marcosmapl/dataset_imigrantes/main/noticias_filtered/g1/haitianos/2022/07_ago/html/g1_d894f876-22f8-11ed-b24f-6dbe51e79fca_2161.html", "HTML")</f>
        <v/>
      </c>
      <c r="L36">
        <f>HYPERLINK("https://raw.githubusercontent.com/marcosmapl/dataset_imigrantes/main/noticias_filtered/g1/haitianos/2022/07_ago/txt/g1_d894f876-22f8-11ed-b24f-6dbe51e79fca_2161.txt", "TXT")</f>
        <v/>
      </c>
    </row>
    <row r="37">
      <c r="A37" s="1" t="n">
        <v>35</v>
      </c>
      <c r="B37" t="n">
        <v>2022</v>
      </c>
      <c r="C37" s="2" t="n">
        <v>44784.95779030093</v>
      </c>
      <c r="D37" t="inlineStr">
        <is>
          <t>G1</t>
        </is>
      </c>
      <c r="E37" t="inlineStr">
        <is>
          <t>VENEZUELANOS</t>
        </is>
      </c>
      <c r="F37" t="inlineStr">
        <is>
          <t>ACRE</t>
        </is>
      </c>
      <c r="G37" t="inlineStr">
        <is>
          <t>G1 AC — RIO BRANCO</t>
        </is>
      </c>
      <c r="H37" t="inlineStr">
        <is>
          <t>IDOSO DE 69 ANOS BUSCA ATENDIMENTO EM UPA DO ACRE COM SINTOMAS DA VARÍOLA DOS MACACOS</t>
        </is>
      </c>
      <c r="I37" t="inlineStr">
        <is>
          <t>IDOSO BUSCOU A UPA DA SOBRAL NESTA QUINTA-FEIRA (11) COM FEBRE, ERUPÇÃO CUTÂNEA, TOSSE, DOR DE CABEÇA E NAS COSTAS.</t>
        </is>
      </c>
      <c r="J37">
        <f>HYPERLINK("https://g1.globo.com/ac/acre/noticia/2022/08/11/idoso-de-69-anos-busca-atendimento-em-upa-do-acre-com-sintomas-da-variola-dos-macacos.ghtml", "URL")</f>
        <v/>
      </c>
      <c r="K37">
        <f>HYPERLINK("https://raw.githubusercontent.com/marcosmapl/dataset_imigrantes/main/noticias_filtered/g1/venezuelanos/2022/07_ago/html/g1_9e09d146-231f-11ed-b24f-6dbe51e79fca_3634.html", "HTML")</f>
        <v/>
      </c>
      <c r="L37">
        <f>HYPERLINK("https://raw.githubusercontent.com/marcosmapl/dataset_imigrantes/main/noticias_filtered/g1/venezuelanos/2022/07_ago/txt/g1_9e09d146-231f-11ed-b24f-6dbe51e79fca_3634.txt", "TXT")</f>
        <v/>
      </c>
    </row>
    <row r="38">
      <c r="A38" s="1" t="n">
        <v>36</v>
      </c>
      <c r="B38" t="n">
        <v>2022</v>
      </c>
      <c r="C38" s="2" t="n">
        <v>44784.92841350695</v>
      </c>
      <c r="D38" t="inlineStr">
        <is>
          <t>G1</t>
        </is>
      </c>
      <c r="E38" t="inlineStr">
        <is>
          <t>VENEZUELANOS</t>
        </is>
      </c>
      <c r="F38" t="inlineStr">
        <is>
          <t>RORAIMA</t>
        </is>
      </c>
      <c r="G38" t="inlineStr">
        <is>
          <t>G1 RR — BOA VISTA</t>
        </is>
      </c>
      <c r="H38" t="inlineStr">
        <is>
          <t>MANIFESTANTES LEEM CARTA EM DEFESA DA DEMOCRACIA EM BOA VISTA</t>
        </is>
      </c>
      <c r="I38" t="inlineStr">
        <is>
          <t>MOVIMENTO FOI ORGANIZADO POR ENTIDADES DA SOCIEDADE CIVIL E OCORREU NA UNIVERSIDADE FEDERAL DE RORAIMA (UFRR). DATA MARCA ANIVERSÁRIO DA CRIAÇÃO DOS CURSOS DE DIREITO NO PAÍS E COINCIDE COM A LEITURA DO MANIFESTO DE 1977, FEITO PARA DENUNCIAR A DITADURA MILITAR.</t>
        </is>
      </c>
      <c r="J38">
        <f>HYPERLINK("https://g1.globo.com/rr/roraima/noticia/2022/08/11/manifestantes-leem-carta-em-defesa-da-democracia-em-boa-vista.ghtml", "URL")</f>
        <v/>
      </c>
      <c r="K38">
        <f>HYPERLINK("https://raw.githubusercontent.com/marcosmapl/dataset_imigrantes/main/noticias_filtered/g1/venezuelanos/2022/07_ago/html/g1_e60825ba-231a-11ed-b24f-6dbe51e79fca_3360.html", "HTML")</f>
        <v/>
      </c>
      <c r="L38">
        <f>HYPERLINK("https://raw.githubusercontent.com/marcosmapl/dataset_imigrantes/main/noticias_filtered/g1/venezuelanos/2022/07_ago/txt/g1_e60825ba-231a-11ed-b24f-6dbe51e79fca_3360.txt", "TXT")</f>
        <v/>
      </c>
    </row>
    <row r="39">
      <c r="A39" s="1" t="n">
        <v>37</v>
      </c>
      <c r="B39" t="n">
        <v>2022</v>
      </c>
      <c r="C39" s="2" t="n">
        <v>44784.62438928241</v>
      </c>
      <c r="D39" t="inlineStr">
        <is>
          <t>G1</t>
        </is>
      </c>
      <c r="E39" t="inlineStr">
        <is>
          <t>VENEZUELANOS</t>
        </is>
      </c>
      <c r="F39" t="inlineStr">
        <is>
          <t>RORAIMA</t>
        </is>
      </c>
      <c r="G39" t="inlineStr">
        <is>
          <t>G1 RR — BOA VISTA</t>
        </is>
      </c>
      <c r="H39" t="inlineStr">
        <is>
          <t>CORPOS DE GARIMPEIROS MORTOS NA FRONTEIRA COM A VENEZUELA SÃO TRAZIDOS POR AERONAVE PARA RR</t>
        </is>
      </c>
      <c r="I39" t="inlineStr">
        <is>
          <t>ENTRE AS VÍTIMAS ESTÃO QUATRO HOMENS E UMA MULHER. A SUSPEITA É QUE GUARDAS VENEZUELANOS ASSASSINARAM AS VÍTIMAS NO ÚLTIMO DOMINGO (7) PARA ROUBÁ-LAS. UMA DAS VÍTIMAS FOI IDENTIFICADA COMO OSWALD FIGUEIRA SUAREZ, DE 31 ANOS.</t>
        </is>
      </c>
      <c r="J39">
        <f>HYPERLINK("https://g1.globo.com/rr/roraima/noticia/2022/08/11/corpos-de-garimpeiros-mortos-na-fronteira-com-a-venezuela-sao-trazidos-por-aeronave-para-rr.ghtml", "URL")</f>
        <v/>
      </c>
      <c r="K39">
        <f>HYPERLINK("https://raw.githubusercontent.com/marcosmapl/dataset_imigrantes/main/noticias_filtered/g1/venezuelanos/2022/07_ago/html/g1_e12f0a52-2321-11ed-b24f-6dbe51e79fca_3721.html", "HTML")</f>
        <v/>
      </c>
      <c r="L39">
        <f>HYPERLINK("https://raw.githubusercontent.com/marcosmapl/dataset_imigrantes/main/noticias_filtered/g1/venezuelanos/2022/07_ago/txt/g1_e12f0a52-2321-11ed-b24f-6dbe51e79fca_3721.txt", "TXT")</f>
        <v/>
      </c>
    </row>
    <row r="40">
      <c r="A40" s="1" t="n">
        <v>38</v>
      </c>
      <c r="B40" t="n">
        <v>2022</v>
      </c>
      <c r="C40" s="2" t="n">
        <v>44784.62043981482</v>
      </c>
      <c r="D40" t="inlineStr">
        <is>
          <t>A CRITICA</t>
        </is>
      </c>
      <c r="E40" t="inlineStr">
        <is>
          <t>VENEZUELANOS</t>
        </is>
      </c>
      <c r="F40" t="inlineStr">
        <is>
          <t>MANAUS</t>
        </is>
      </c>
      <c r="G40" t="inlineStr">
        <is>
          <t>JEYSE XAVIER</t>
        </is>
      </c>
      <c r="H40" t="inlineStr">
        <is>
          <t>ENTRE RESTAURANTES E BARES: MANAUS TEM MAIS DE 28 MIL GARÇONS E AINDA CONTA COM VAGAS SOBRANDO</t>
        </is>
      </c>
      <c r="I40" t="inlineStr">
        <is>
          <t>NESTA QUINTA-FEIRA, 11 DE AGOSTO, É COMEMORADO O "DIA DO GARÇOM", DATA HOMENAGEIA AQUELES QUE DOMINAM A ARTE DE SERVIR E ATENDER COM QUALIDADE</t>
        </is>
      </c>
      <c r="J40">
        <f>HYPERLINK("https://www.acritica.com/manaus/entre-restaurantes-e-bares-manaus-tem-mais-de-28-mil-garcons-e-ainda-conta-com-vagas-sobrando-1.278461", "URL")</f>
        <v/>
      </c>
      <c r="K40">
        <f>HYPERLINK("https://raw.githubusercontent.com/marcosmapl/dataset_imigrantes/main/noticias_filtered/a_critica/venezuelanos/2022/07_ago/html/1.278461_708.html", "HTML")</f>
        <v/>
      </c>
      <c r="L40">
        <f>HYPERLINK("https://raw.githubusercontent.com/marcosmapl/dataset_imigrantes/main/noticias_filtered/a_critica/venezuelanos/2022/07_ago/txt/1.278461_708.txt", "TXT")</f>
        <v/>
      </c>
    </row>
    <row r="41">
      <c r="A41" s="1" t="n">
        <v>39</v>
      </c>
      <c r="B41" t="n">
        <v>2022</v>
      </c>
      <c r="C41" s="2" t="n">
        <v>44783.95751229166</v>
      </c>
      <c r="D41" t="inlineStr">
        <is>
          <t>G1</t>
        </is>
      </c>
      <c r="E41" t="inlineStr">
        <is>
          <t>VENEZUELANOS</t>
        </is>
      </c>
      <c r="F41" t="inlineStr">
        <is>
          <t>BAHIA</t>
        </is>
      </c>
      <c r="G41" t="inlineStr">
        <is>
          <t>G1 BA E TV BAHIA</t>
        </is>
      </c>
      <c r="H41" t="inlineStr">
        <is>
          <t>BRASILEIRO ESPANCADO COM AMIGOS VENEZUELANOS APÓS GRUPO SER EXPULSO DE BOATE EM PORTUGAL TEM ALTA MÉDICA</t>
        </is>
      </c>
      <c r="I41" t="inlineStr">
        <is>
          <t>VÍTIMA NASCEU EM ILHÉUS, NO SUL DA BAHIA, E MORA NA CIDADE DE FARO HÁ TRÊS ANOS.</t>
        </is>
      </c>
      <c r="J41">
        <f>HYPERLINK("https://g1.globo.com/ba/bahia/noticia/2022/08/10/brasileiro-espancado-com-amigos-venezuelanos-apos-grupo-ser-expulso-de-boate-em-portugal-tem-alta-medica.ghtml", "URL")</f>
        <v/>
      </c>
      <c r="K41">
        <f>HYPERLINK("https://raw.githubusercontent.com/marcosmapl/dataset_imigrantes/main/noticias_filtered/g1/venezuelanos/2022/07_ago/html/g1_da6377fa-2324-11ed-b24f-6dbe51e79fca_3885.html", "HTML")</f>
        <v/>
      </c>
      <c r="L41">
        <f>HYPERLINK("https://raw.githubusercontent.com/marcosmapl/dataset_imigrantes/main/noticias_filtered/g1/venezuelanos/2022/07_ago/txt/g1_da6377fa-2324-11ed-b24f-6dbe51e79fca_3885.txt", "TXT")</f>
        <v/>
      </c>
    </row>
    <row r="42">
      <c r="A42" s="1" t="n">
        <v>40</v>
      </c>
      <c r="B42" t="n">
        <v>2022</v>
      </c>
      <c r="C42" s="2" t="n">
        <v>44783.84723115741</v>
      </c>
      <c r="D42" t="inlineStr">
        <is>
          <t>G1</t>
        </is>
      </c>
      <c r="E42" t="inlineStr">
        <is>
          <t>VENEZUELANOS</t>
        </is>
      </c>
      <c r="F42" t="inlineStr">
        <is>
          <t>BAHIA</t>
        </is>
      </c>
      <c r="G42" t="inlineStr">
        <is>
          <t>TV SANTA CRUZ E G1 BA</t>
        </is>
      </c>
      <c r="H42" t="inlineStr">
        <is>
          <t>'FOI UM FILME DE TERROR', RELATA VENEZUELANO ESPANCADO COM BRASILEIRO EM BOATE DE PORTUGAL</t>
        </is>
      </c>
      <c r="I42" t="inlineStr">
        <is>
          <t>UM BAIANO ESTÁ ENTRE AS VÍTIMAS NO EPISÓDIO DE VIOLÊNCIA NA CIDADE DE FARO.</t>
        </is>
      </c>
      <c r="J42">
        <f>HYPERLINK("https://g1.globo.com/ba/bahia/noticia/2022/08/10/foi-um-filme-de-terror-relata-venezuelano-espancado-com-brasileiro-em-boate-de-portugal.ghtml", "URL")</f>
        <v/>
      </c>
      <c r="K42">
        <f>HYPERLINK("https://raw.githubusercontent.com/marcosmapl/dataset_imigrantes/main/noticias_filtered/g1/venezuelanos/2022/07_ago/html/g1_32623f3c-2315-11ed-b24f-6dbe51e79fca_3072.html", "HTML")</f>
        <v/>
      </c>
      <c r="L42">
        <f>HYPERLINK("https://raw.githubusercontent.com/marcosmapl/dataset_imigrantes/main/noticias_filtered/g1/venezuelanos/2022/07_ago/txt/g1_32623f3c-2315-11ed-b24f-6dbe51e79fca_3072.txt", "TXT")</f>
        <v/>
      </c>
    </row>
    <row r="43">
      <c r="A43" s="1" t="n">
        <v>41</v>
      </c>
      <c r="B43" t="n">
        <v>2022</v>
      </c>
      <c r="C43" s="2" t="n">
        <v>44783.02739931713</v>
      </c>
      <c r="D43" t="inlineStr">
        <is>
          <t>G1</t>
        </is>
      </c>
      <c r="E43" t="inlineStr">
        <is>
          <t>VENEZUELANOS</t>
        </is>
      </c>
      <c r="F43" t="inlineStr">
        <is>
          <t>BAHIA</t>
        </is>
      </c>
      <c r="G43" t="inlineStr">
        <is>
          <t>G1 BA E TV SANTA CRUZ</t>
        </is>
      </c>
      <c r="H43" t="inlineStr">
        <is>
          <t>BRASILEIRO É ESPANCADO COM AMIGOS VENEZUELANOS APÓS GRUPO SER EXPULSO DE BOATE EM PORTUGAL: 'LEVOU UMA PAULADA NA CABEÇA'</t>
        </is>
      </c>
      <c r="I43" t="inlineStr">
        <is>
          <t>VÍTIMA NASCEU EM ILHÉUS, NO SUL DA BAHIA, E MORA NA CIDADE DE FARO HÁ TRÊS ANOS. ESPOSA DO BRASILEIRO DETALHOU SOBRE AGRESSÕES.</t>
        </is>
      </c>
      <c r="J43">
        <f>HYPERLINK("https://g1.globo.com/ba/bahia/noticia/2022/08/09/brasileiro-e-espancado-com-amigos-venezuelanos-apos-grupo-ser-expulso-de-boate-em-portugal.ghtml", "URL")</f>
        <v/>
      </c>
      <c r="K43">
        <f>HYPERLINK("https://raw.githubusercontent.com/marcosmapl/dataset_imigrantes/main/noticias_filtered/g1/venezuelanos/2022/07_ago/html/g1_92e420aa-231f-11ed-b24f-6dbe51e79fca_3631.html", "HTML")</f>
        <v/>
      </c>
      <c r="L43">
        <f>HYPERLINK("https://raw.githubusercontent.com/marcosmapl/dataset_imigrantes/main/noticias_filtered/g1/venezuelanos/2022/07_ago/txt/g1_92e420aa-231f-11ed-b24f-6dbe51e79fca_3631.txt", "TXT")</f>
        <v/>
      </c>
    </row>
    <row r="44">
      <c r="A44" s="1" t="n">
        <v>42</v>
      </c>
      <c r="B44" t="n">
        <v>2022</v>
      </c>
      <c r="C44" s="2" t="n">
        <v>44782.8172337963</v>
      </c>
      <c r="D44" t="inlineStr">
        <is>
          <t>A CRITICA</t>
        </is>
      </c>
      <c r="E44" t="inlineStr">
        <is>
          <t>VENEZUELANOS</t>
        </is>
      </c>
      <c r="F44" t="inlineStr">
        <is>
          <t>POLITICA</t>
        </is>
      </c>
      <c r="G44" t="inlineStr">
        <is>
          <t>GIOVANNA MARINHO</t>
        </is>
      </c>
      <c r="H44" t="inlineStr">
        <is>
          <t>ESPECIALISTA QUESTIONA EFEITO ELEITORAL DO PACOTE DE BENEFÍCIOS LIBERADO NESTA SEMANA</t>
        </is>
      </c>
      <c r="I44" t="inlineStr">
        <is>
          <t>EFEITOS ELEITORAIS DO PACOTÃO DE BENEFÍCIOS SOCIAIS, QUE COMEÇOU A SER PAGO ONTEM PELO GOVERNO FEDERAL, SÃO “SUPERESTIMADOS” NA AVALIAÇÃO DO ANALISTA POLÍTICO AFRÂNIO SOARES</t>
        </is>
      </c>
      <c r="J44">
        <f>HYPERLINK("https://www.acritica.com/politica/especialista-questiona-efeito-eleitoral-do-pacote-de-beneficios-liberado-nesta-semana-1.278289", "URL")</f>
        <v/>
      </c>
      <c r="K44">
        <f>HYPERLINK("https://raw.githubusercontent.com/marcosmapl/dataset_imigrantes/main/noticias_filtered/a_critica/venezuelanos/2022/07_ago/html/1.278289_1189.html", "HTML")</f>
        <v/>
      </c>
      <c r="L44">
        <f>HYPERLINK("https://raw.githubusercontent.com/marcosmapl/dataset_imigrantes/main/noticias_filtered/a_critica/venezuelanos/2022/07_ago/txt/1.278289_1189.txt", "TXT")</f>
        <v/>
      </c>
    </row>
    <row r="45">
      <c r="A45" s="1" t="n">
        <v>43</v>
      </c>
      <c r="B45" t="n">
        <v>2022</v>
      </c>
      <c r="C45" s="2" t="n">
        <v>44782.65408564815</v>
      </c>
      <c r="D45" t="inlineStr">
        <is>
          <t>A CRITICA</t>
        </is>
      </c>
      <c r="E45" t="inlineStr">
        <is>
          <t>VENEZUELANOS</t>
        </is>
      </c>
      <c r="F45" t="inlineStr">
        <is>
          <t>GERAL</t>
        </is>
      </c>
      <c r="G45" t="inlineStr">
        <is>
          <t>REUTERS</t>
        </is>
      </c>
      <c r="H45" t="inlineStr">
        <is>
          <t>CUBA TENTA CONTROLAR MAIOR INCÊNDIO DA HISTÓRIA EM TANQUE DE PETRÓLEO</t>
        </is>
      </c>
      <c r="I45" t="inlineStr">
        <is>
          <t>UM RAIO ATINGIU UM TANQUE DE ARMAZENAMENTO DE COMBUSTÍVEL NA NOITE DE SEXTA-FEIRA. O FOGO SE ESPALHOU PARA UM SEGUNDO TANQUE NO DOMINGO (7) E CONSUMIU A ÁREA DE QUATRO TANQUES NA SEGUNDA-FEIRA (8)</t>
        </is>
      </c>
      <c r="J45">
        <f>HYPERLINK("https://www.acritica.com/geral/cuba-tenta-controlar-maior-incendio-da-historia-em-tanque-de-petroleo-1.278260", "URL")</f>
        <v/>
      </c>
      <c r="K45">
        <f>HYPERLINK("https://raw.githubusercontent.com/marcosmapl/dataset_imigrantes/main/noticias_filtered/a_critica/venezuelanos/2022/07_ago/html/1.278260_694.html", "HTML")</f>
        <v/>
      </c>
      <c r="L45">
        <f>HYPERLINK("https://raw.githubusercontent.com/marcosmapl/dataset_imigrantes/main/noticias_filtered/a_critica/venezuelanos/2022/07_ago/txt/1.278260_694.txt", "TXT")</f>
        <v/>
      </c>
    </row>
    <row r="46">
      <c r="A46" s="1" t="n">
        <v>44</v>
      </c>
      <c r="B46" t="n">
        <v>2022</v>
      </c>
      <c r="C46" s="2" t="n">
        <v>44782.39711805555</v>
      </c>
      <c r="D46" t="inlineStr">
        <is>
          <t>A CRITICA</t>
        </is>
      </c>
      <c r="E46" t="inlineStr">
        <is>
          <t>VENEZUELANOS</t>
        </is>
      </c>
      <c r="F46" t="inlineStr">
        <is>
          <t>GERAL</t>
        </is>
      </c>
      <c r="G46" t="inlineStr">
        <is>
          <t>ACRITICA.COM</t>
        </is>
      </c>
      <c r="H46" t="inlineStr">
        <is>
          <t>PARQUE DAS NAÇÕES INDÍGENAS RECEBE ESTRUTURA DE ÁGUA E COMEMORA MELHORIA DA QUALIDADE DE VIDA</t>
        </is>
      </c>
      <c r="I46" t="inlineStr">
        <is>
          <t>NO DIA INTERNACIONAL DOS POVOS INDÍGENAS, CONCESSIONÁRIA DESTACA COMO VÊM PROMOVENDO SAÚDE E DIGNIDADE EM REGIÕES INDÍGENAS URBANAS DA CAPITAL</t>
        </is>
      </c>
      <c r="J46">
        <f>HYPERLINK("https://www.acritica.com/geral/parque-das-nac-es-indigenas-recebe-estrutura-de-agua-e-comemora-melhoria-da-qualidade-de-vida-1.278217", "URL")</f>
        <v/>
      </c>
      <c r="K46">
        <f>HYPERLINK("https://raw.githubusercontent.com/marcosmapl/dataset_imigrantes/main/noticias_filtered/a_critica/venezuelanos/2022/07_ago/html/1.278217_257.html", "HTML")</f>
        <v/>
      </c>
      <c r="L46">
        <f>HYPERLINK("https://raw.githubusercontent.com/marcosmapl/dataset_imigrantes/main/noticias_filtered/a_critica/venezuelanos/2022/07_ago/txt/1.278217_257.txt", "TXT")</f>
        <v/>
      </c>
    </row>
    <row r="47">
      <c r="A47" s="1" t="n">
        <v>45</v>
      </c>
      <c r="B47" t="n">
        <v>2022</v>
      </c>
      <c r="C47" s="2" t="n">
        <v>44781.39066914352</v>
      </c>
      <c r="D47" t="inlineStr">
        <is>
          <t>G1</t>
        </is>
      </c>
      <c r="E47" t="inlineStr">
        <is>
          <t>VENEZUELANOS</t>
        </is>
      </c>
      <c r="F47" t="inlineStr">
        <is>
          <t>MUNDO</t>
        </is>
      </c>
      <c r="G47" t="inlineStr">
        <is>
          <t>BBC</t>
        </is>
      </c>
      <c r="H47" t="inlineStr">
        <is>
          <t>GUSTAVO PETRO: OS DESAFIOS DO NOVO PRESIDENTE DA COLÔMBIA NA ECONOMIA</t>
        </is>
      </c>
      <c r="I47" t="inlineStr">
        <is>
          <t>PRIMEIRO PRESIDENTE DE ESQUERDA DO PAÍS TERÁ QUE ENFRENTAR UMA DAS MAIS GRAVES CRISES ECONÔMICAS DA HISTÓRIA RECENTE. UMA AMBICIOSA REFORMA TRIBUTÁRIA PODERÁ DEFINIR O SUCESSO OU FRACASSO DO NOVO GOVERNO.</t>
        </is>
      </c>
      <c r="J47">
        <f>HYPERLINK("https://g1.globo.com/mundo/noticia/2022/08/08/gustavo-petro-os-desafios-do-novo-presidente-da-colombia-na-economia.ghtml", "URL")</f>
        <v/>
      </c>
      <c r="K47">
        <f>HYPERLINK("https://raw.githubusercontent.com/marcosmapl/dataset_imigrantes/main/noticias_filtered/g1/venezuelanos/2022/07_ago/html/g1_c8691456-2310-11ed-b24f-6dbe51e79fca_2875.html", "HTML")</f>
        <v/>
      </c>
      <c r="L47">
        <f>HYPERLINK("https://raw.githubusercontent.com/marcosmapl/dataset_imigrantes/main/noticias_filtered/g1/venezuelanos/2022/07_ago/txt/g1_c8691456-2310-11ed-b24f-6dbe51e79fca_2875.txt", "TXT")</f>
        <v/>
      </c>
    </row>
    <row r="48">
      <c r="A48" s="1" t="n">
        <v>46</v>
      </c>
      <c r="B48" t="n">
        <v>2022</v>
      </c>
      <c r="C48" s="2" t="n">
        <v>44781.19924413195</v>
      </c>
      <c r="D48" t="inlineStr">
        <is>
          <t>G1</t>
        </is>
      </c>
      <c r="E48" t="inlineStr">
        <is>
          <t>VENEZUELANOS</t>
        </is>
      </c>
      <c r="F48" t="inlineStr">
        <is>
          <t>MUNDO</t>
        </is>
      </c>
      <c r="G48" t="inlineStr">
        <is>
          <t>FRANCE PRESSE</t>
        </is>
      </c>
      <c r="H48" t="inlineStr">
        <is>
          <t>CUBA SEGUE COMBATENDO GIGANTESCO INCÊNDIO EM TANQUES DE PETRÓLEO</t>
        </is>
      </c>
      <c r="I48" t="inlineStr">
        <is>
          <t>IMAGENS EM REDES SOCIAIS MOSTRAM EXPLOSÕES NA MADRUGADA DESTA SEGUNDA-FEIRA (8). COMBATE AO FOGO DEIXOU UM MORTO, 16 DESAPARECIDOS E DEZENAS DE FERIDOS.</t>
        </is>
      </c>
      <c r="J48">
        <f>HYPERLINK("https://g1.globo.com/mundo/noticia/2022/08/08/cuba-segue-combatendo-gigantesco-incendio-em-tanques-de-petroleo.ghtml", "URL")</f>
        <v/>
      </c>
      <c r="K48">
        <f>HYPERLINK("https://raw.githubusercontent.com/marcosmapl/dataset_imigrantes/main/noticias_filtered/g1/venezuelanos/2022/07_ago/html/g1_f47a0598-2309-11ed-b24f-6dbe51e79fca_2476.html", "HTML")</f>
        <v/>
      </c>
      <c r="L48">
        <f>HYPERLINK("https://raw.githubusercontent.com/marcosmapl/dataset_imigrantes/main/noticias_filtered/g1/venezuelanos/2022/07_ago/txt/g1_f47a0598-2309-11ed-b24f-6dbe51e79fca_2476.txt", "TXT")</f>
        <v/>
      </c>
    </row>
    <row r="49">
      <c r="A49" s="1" t="n">
        <v>47</v>
      </c>
      <c r="B49" t="n">
        <v>2022</v>
      </c>
      <c r="C49" s="2" t="n">
        <v>44780.79109275463</v>
      </c>
      <c r="D49" t="inlineStr">
        <is>
          <t>G1</t>
        </is>
      </c>
      <c r="E49" t="inlineStr">
        <is>
          <t>VENEZUELANOS</t>
        </is>
      </c>
      <c r="F49" t="inlineStr">
        <is>
          <t>RORAIMA</t>
        </is>
      </c>
      <c r="G49" t="inlineStr">
        <is>
          <t>G1 RR — BOA VISTA</t>
        </is>
      </c>
      <c r="H49" t="inlineStr">
        <is>
          <t>VOCÊ VIU? CHUVAS EM BOA VISTA, PROVAS DE CONCURSO VIOLADAS, JACARÉ 'PASSEANDO' E MAIS EM RR</t>
        </is>
      </c>
      <c r="I49" t="inlineStr">
        <is>
          <t>VEJA AS NOTÍCIAS MAIS LIDAS NO G1 RORAIMA ENTRE OS DIAS 31 DE JULHO A 6 DE AGOSTO.</t>
        </is>
      </c>
      <c r="J49">
        <f>HYPERLINK("https://g1.globo.com/rr/roraima/noticia/2022/08/07/voce-viu-chuvas-em-boa-vista-provas-de-concurso-violadas-jacare-passeando-e-mais-em-rr.ghtml", "URL")</f>
        <v/>
      </c>
      <c r="K49">
        <f>HYPERLINK("https://raw.githubusercontent.com/marcosmapl/dataset_imigrantes/main/noticias_filtered/g1/venezuelanos/2022/07_ago/html/g1_f92f348c-2327-11ed-b24f-6dbe51e79fca_4058.html", "HTML")</f>
        <v/>
      </c>
      <c r="L49">
        <f>HYPERLINK("https://raw.githubusercontent.com/marcosmapl/dataset_imigrantes/main/noticias_filtered/g1/venezuelanos/2022/07_ago/txt/g1_f92f348c-2327-11ed-b24f-6dbe51e79fca_4058.txt", "TXT")</f>
        <v/>
      </c>
    </row>
    <row r="50">
      <c r="A50" s="1" t="n">
        <v>48</v>
      </c>
      <c r="B50" t="n">
        <v>2022</v>
      </c>
      <c r="C50" s="2" t="n">
        <v>44780.77521266204</v>
      </c>
      <c r="D50" t="inlineStr">
        <is>
          <t>G1</t>
        </is>
      </c>
      <c r="E50" t="inlineStr">
        <is>
          <t>VENEZUELANOS</t>
        </is>
      </c>
      <c r="F50" t="inlineStr">
        <is>
          <t>MUNDO</t>
        </is>
      </c>
      <c r="G50" t="inlineStr">
        <is>
          <t>G1</t>
        </is>
      </c>
      <c r="H50" t="inlineStr">
        <is>
          <t>CUBA NÃO CONSEGUE CONTROLAR INCÊNDIO NO MAIOR ARMAZÉM DE PETRÓLEO DA ILHA; MÉXICO E VENEZUELA MANDAM REFORÇOS PARA COMBATER O FOGO</t>
        </is>
      </c>
      <c r="I50" t="inlineStr">
        <is>
          <t>DOIS TANQUES DE ARMAZENAMENTO DE PETRÓLEO PEGARAM FOGO. OS BOMBEIROS FORAM SURPREENDIDOS COM A EXPLOSÃO DO SEGUNDO.</t>
        </is>
      </c>
      <c r="J50">
        <f>HYPERLINK("https://g1.globo.com/mundo/noticia/2022/08/07/cuba-nao-consegue-controlar-incendio-no-maior-armazem-de-petroleo-da-ilha-mexico-e-venezuela-mandam-reforcos-para-combater-o-fogo.ghtml", "URL")</f>
        <v/>
      </c>
      <c r="K50">
        <f>HYPERLINK("https://raw.githubusercontent.com/marcosmapl/dataset_imigrantes/main/noticias_filtered/g1/venezuelanos/2022/07_ago/html/g1_76a6165a-2315-11ed-b24f-6dbe51e79fca_3086.html", "HTML")</f>
        <v/>
      </c>
      <c r="L50">
        <f>HYPERLINK("https://raw.githubusercontent.com/marcosmapl/dataset_imigrantes/main/noticias_filtered/g1/venezuelanos/2022/07_ago/txt/g1_76a6165a-2315-11ed-b24f-6dbe51e79fca_3086.txt", "TXT")</f>
        <v/>
      </c>
    </row>
    <row r="51">
      <c r="A51" s="1" t="n">
        <v>49</v>
      </c>
      <c r="B51" t="n">
        <v>2022</v>
      </c>
      <c r="C51" s="2" t="n">
        <v>44778.89401347222</v>
      </c>
      <c r="D51" t="inlineStr">
        <is>
          <t>G1</t>
        </is>
      </c>
      <c r="E51" t="inlineStr">
        <is>
          <t>VENEZUELANOS</t>
        </is>
      </c>
      <c r="F51" t="inlineStr">
        <is>
          <t>RORAIMA</t>
        </is>
      </c>
      <c r="G51" t="inlineStr">
        <is>
          <t>G1 RR — BOA VISTA</t>
        </is>
      </c>
      <c r="H51" t="inlineStr">
        <is>
          <t>MIGRANTE VENEZUELANA APOSTA EM PRODUÇÃO DE COOKIES E FATURA R$ 2 MIL POR MÊS EM RORAIMA</t>
        </is>
      </c>
      <c r="I51" t="inlineStr">
        <is>
          <t>JESSICA RICHARDS É CONFEITEIRA E FEZ CURSO DE EMPREENDEDORISMO COM A ONG VISÃO MUNDIAL POR MEIO DO PROJETO VEN, TÚ PUEDES. OUTRAS 1,6 MIL PESSOAS PASSARAM POR CAPACITAÇÕES EMPREENDEDORAS PELO PROJETO.</t>
        </is>
      </c>
      <c r="J51">
        <f>HYPERLINK("https://g1.globo.com/rr/roraima/noticia/2022/08/05/migrante-venezuelana-aposta-em-producao-de-cookies-e-fatura-r-2-mil-por-mes-em-roraima.ghtml", "URL")</f>
        <v/>
      </c>
      <c r="K51">
        <f>HYPERLINK("https://raw.githubusercontent.com/marcosmapl/dataset_imigrantes/main/noticias_filtered/g1/venezuelanos/2022/07_ago/html/g1_baabbe6c-2311-11ed-b24f-6dbe51e79fca_2931.html", "HTML")</f>
        <v/>
      </c>
      <c r="L51">
        <f>HYPERLINK("https://raw.githubusercontent.com/marcosmapl/dataset_imigrantes/main/noticias_filtered/g1/venezuelanos/2022/07_ago/txt/g1_baabbe6c-2311-11ed-b24f-6dbe51e79fca_2931.txt", "TXT")</f>
        <v/>
      </c>
    </row>
    <row r="52">
      <c r="A52" s="1" t="n">
        <v>50</v>
      </c>
      <c r="B52" t="n">
        <v>2022</v>
      </c>
      <c r="C52" s="2" t="n">
        <v>44778.69917738426</v>
      </c>
      <c r="D52" t="inlineStr">
        <is>
          <t>G1</t>
        </is>
      </c>
      <c r="E52" t="inlineStr">
        <is>
          <t>VENEZUELANOS</t>
        </is>
      </c>
      <c r="F52" t="inlineStr">
        <is>
          <t>MUNDO</t>
        </is>
      </c>
      <c r="G52" t="inlineStr">
        <is>
          <t>FRANCE PRESSE</t>
        </is>
      </c>
      <c r="H52" t="inlineStr">
        <is>
          <t>VENEZUELA EMITE MANDADO DE PRISÃO CONTRA JORNALISTA QUE VIVE NOS EUA POR 'APOLOGIA AO MAGNICÍDIO'; SAIBA O QUE ELA DISSE</t>
        </is>
      </c>
      <c r="I52" t="inlineStr">
        <is>
          <t>JORNALISTA COMENTAVA A MORTE DE AYMAN AL-ZAWAHIRI, O LÍDER DA AL-QAEDA, E DISSE O SEGUINTE: 'OS ESTADOS UNIDOS ENVIAM UM DRONE E DESAPARECEM COM ESTE HOMEM. E O QUE É QUE O VENEZUELANO DIZ NAS REDES SOCIAIS? POR QUE NÃO FAZEM O MESMO COM MADURO? E AQUI OBVIAMENTE NÃO ESTAMOS FAZENDO APOLOGIA AO SEU ASSASSINATO, MAS É UMA PERGUNTA VÁLIDA'.</t>
        </is>
      </c>
      <c r="J52">
        <f>HYPERLINK("https://g1.globo.com/mundo/noticia/2022/08/05/venezuela-emite-mandado-de-prisao-contra-jornalista-que-vive-nos-eua-por-apologia-ao-magnicidio-saiba-o-que-ela-disse.ghtml", "URL")</f>
        <v/>
      </c>
      <c r="K52">
        <f>HYPERLINK("https://raw.githubusercontent.com/marcosmapl/dataset_imigrantes/main/noticias_filtered/g1/venezuelanos/2022/07_ago/html/g1_8ce0ce3e-231e-11ed-b24f-6dbe51e79fca_3569.html", "HTML")</f>
        <v/>
      </c>
      <c r="L52">
        <f>HYPERLINK("https://raw.githubusercontent.com/marcosmapl/dataset_imigrantes/main/noticias_filtered/g1/venezuelanos/2022/07_ago/txt/g1_8ce0ce3e-231e-11ed-b24f-6dbe51e79fca_3569.txt", "TXT")</f>
        <v/>
      </c>
    </row>
    <row r="53">
      <c r="A53" s="1" t="n">
        <v>51</v>
      </c>
      <c r="B53" t="n">
        <v>2022</v>
      </c>
      <c r="C53" s="2" t="n">
        <v>44778.63078805555</v>
      </c>
      <c r="D53" t="inlineStr">
        <is>
          <t>G1</t>
        </is>
      </c>
      <c r="E53" t="inlineStr">
        <is>
          <t>HAITIANOS</t>
        </is>
      </c>
      <c r="F53" t="inlineStr">
        <is>
          <t>RIO GRANDE DO SUL</t>
        </is>
      </c>
      <c r="G53" t="inlineStr">
        <is>
          <t>GABRIEL COSTA, RBS TV SANTA CRUZ DO SUL</t>
        </is>
      </c>
      <c r="H53" t="inlineStr">
        <is>
          <t>FAMÍLIA DE HAITIANOS DE ESTRELA PERDE R$ 30 MIL EM GOLPE TENTANDO TRAZER PARENTES PARA O BRASIL</t>
        </is>
      </c>
      <c r="I53" t="inlineStr">
        <is>
          <t>DE ACORDO COM A POLÍCIA, EM JULHO, ESTELIONATÁRIOS USARAM PERFIS FALSOS NAS REDES SOCIAIS PARA SE PASSAR POR UMA AGÊNCIA DE VIAGENS REAL DE CURITIBA E FICAR COM O DINHEIRO.</t>
        </is>
      </c>
      <c r="J53">
        <f>HYPERLINK("https://g1.globo.com/rs/rio-grande-do-sul/noticia/2022/08/05/familia-de-haitianos-de-estrela-perde-r-30-mil-em-golpe-tentando-trazer-familiares-para-o-brasil.ghtml", "URL")</f>
        <v/>
      </c>
      <c r="K53">
        <f>HYPERLINK("https://raw.githubusercontent.com/marcosmapl/dataset_imigrantes/main/noticias_filtered/g1/haitianos/2022/07_ago/html/g1_789baefe-22fa-11ed-b24f-6dbe51e79fca_2221.html", "HTML")</f>
        <v/>
      </c>
      <c r="L53">
        <f>HYPERLINK("https://raw.githubusercontent.com/marcosmapl/dataset_imigrantes/main/noticias_filtered/g1/haitianos/2022/07_ago/txt/g1_789baefe-22fa-11ed-b24f-6dbe51e79fca_2221.txt", "TXT")</f>
        <v/>
      </c>
    </row>
    <row r="54">
      <c r="A54" s="1" t="n">
        <v>52</v>
      </c>
      <c r="B54" t="n">
        <v>2022</v>
      </c>
      <c r="C54" s="2" t="n">
        <v>44778.58406574074</v>
      </c>
      <c r="D54" t="inlineStr">
        <is>
          <t>G1</t>
        </is>
      </c>
      <c r="E54" t="inlineStr">
        <is>
          <t>VENEZUELANOS</t>
        </is>
      </c>
      <c r="F54" t="inlineStr">
        <is>
          <t>ACRE</t>
        </is>
      </c>
      <c r="G54" t="inlineStr">
        <is>
          <t>G1 AC — RIO BRANCO</t>
        </is>
      </c>
      <c r="H54" t="inlineStr">
        <is>
          <t>CRIANÇA DE 6 ANOS DÁ ENTRADA EM UPA DE RIO BRANCO COM SUSPEITA DE VARÍOLA DOS MACACOS</t>
        </is>
      </c>
      <c r="I54" t="inlineStr">
        <is>
          <t>A FAMÍLIA RELATA TER TIDO CONTATO COM  UM AMIGO QUE RETORNOU DE SÃO PAULO EM EVENTO RELIGIOSO NO MUNICÍPIO DE RIO BRANCO. CASO FOI DIVULGADO NESTA SEXTA-FEIRA (5).</t>
        </is>
      </c>
      <c r="J54">
        <f>HYPERLINK("https://g1.globo.com/ac/acre/noticia/2022/08/05/uma-crianca-de-6-anos-da-entrada-em-upa-de-rio-branco-com-suspeita-de-variola-dos-macacos.ghtml", "URL")</f>
        <v/>
      </c>
      <c r="K54">
        <f>HYPERLINK("https://raw.githubusercontent.com/marcosmapl/dataset_imigrantes/main/noticias_filtered/g1/venezuelanos/2022/07_ago/html/g1_098063d6-2311-11ed-b24f-6dbe51e79fca_2893.html", "HTML")</f>
        <v/>
      </c>
      <c r="L54">
        <f>HYPERLINK("https://raw.githubusercontent.com/marcosmapl/dataset_imigrantes/main/noticias_filtered/g1/venezuelanos/2022/07_ago/txt/g1_098063d6-2311-11ed-b24f-6dbe51e79fca_2893.txt", "TXT")</f>
        <v/>
      </c>
    </row>
    <row r="55">
      <c r="A55" s="1" t="n">
        <v>53</v>
      </c>
      <c r="B55" t="n">
        <v>2022</v>
      </c>
      <c r="C55" s="2" t="n">
        <v>44778.41709040509</v>
      </c>
      <c r="D55" t="inlineStr">
        <is>
          <t>G1</t>
        </is>
      </c>
      <c r="E55" t="inlineStr">
        <is>
          <t>VENEZUELANOS</t>
        </is>
      </c>
      <c r="F55" t="inlineStr">
        <is>
          <t>RORAIMA</t>
        </is>
      </c>
      <c r="G55" t="inlineStr">
        <is>
          <t>G1 RR — BOA VISTA</t>
        </is>
      </c>
      <c r="H55" t="inlineStr">
        <is>
          <t>CÁRITAS LANÇA PROJETO PARA SERVIR REFEIÇÃO A REFUGIADOS E MIGRANTES VENEZUELANOS EM BOA VISTA</t>
        </is>
      </c>
      <c r="I55" t="inlineStr">
        <is>
          <t>PROJETO SUMAÚMA PREVÊ QUE 916 MIL REFEIÇÕES SERÃO SERVIDAS PARA UMA MÉDIA DE 6 MIL PESSOAS MIGRANTES VENEZUELANAS. PÚBLICO-ALVO DA INICIATIVA SÃO PESSOAS EM SITUAÇÃO DE RUA.</t>
        </is>
      </c>
      <c r="J55">
        <f>HYPERLINK("https://g1.globo.com/rr/roraima/noticia/2022/08/05/caritas-lanca-projeto-para-servir-refeicao-a-refugiados-e-migrantes-venezuelanos-em-boa-vista.ghtml", "URL")</f>
        <v/>
      </c>
      <c r="K55">
        <f>HYPERLINK("https://raw.githubusercontent.com/marcosmapl/dataset_imigrantes/main/noticias_filtered/g1/venezuelanos/2022/07_ago/html/g1_2876ecc8-2321-11ed-b24f-6dbe51e79fca_3682.html", "HTML")</f>
        <v/>
      </c>
      <c r="L55">
        <f>HYPERLINK("https://raw.githubusercontent.com/marcosmapl/dataset_imigrantes/main/noticias_filtered/g1/venezuelanos/2022/07_ago/txt/g1_2876ecc8-2321-11ed-b24f-6dbe51e79fca_3682.txt", "TXT")</f>
        <v/>
      </c>
    </row>
    <row r="56">
      <c r="A56" s="1" t="n">
        <v>54</v>
      </c>
      <c r="B56" t="n">
        <v>2022</v>
      </c>
      <c r="C56" s="2" t="n">
        <v>44777.5675746875</v>
      </c>
      <c r="D56" t="inlineStr">
        <is>
          <t>G1</t>
        </is>
      </c>
      <c r="E56" t="inlineStr">
        <is>
          <t>VENEZUELANOS</t>
        </is>
      </c>
      <c r="F56" t="inlineStr">
        <is>
          <t>RORAIMA</t>
        </is>
      </c>
      <c r="G56" t="inlineStr">
        <is>
          <t>REDE AMAZÔNICA E G1 RR — BOA VISTA</t>
        </is>
      </c>
      <c r="H56" t="inlineStr">
        <is>
          <t>AERONAVE DE MILITARES VENEZUELANOS CAI NA TERRA INDÍGENA YANOMAMI EM RORAIMA</t>
        </is>
      </c>
      <c r="I56" t="inlineStr">
        <is>
          <t>INFORMAÇÃO FOI CONFIRMADA PELA POLÍCIA FEDERAL NESTA QUINTA-FEIRA (4). NÃO HOUVE FERIDOS.</t>
        </is>
      </c>
      <c r="J56">
        <f>HYPERLINK("https://g1.globo.com/rr/roraima/noticia/2022/08/04/aeronave-de-militares-venezuelanos-cai-na-terra-indigena-yanomami-em-roraima.ghtml", "URL")</f>
        <v/>
      </c>
      <c r="K56">
        <f>HYPERLINK("https://raw.githubusercontent.com/marcosmapl/dataset_imigrantes/main/noticias_filtered/g1/venezuelanos/2022/07_ago/html/g1_6eaf30e0-230f-11ed-b24f-6dbe51e79fca_2795.html", "HTML")</f>
        <v/>
      </c>
      <c r="L56">
        <f>HYPERLINK("https://raw.githubusercontent.com/marcosmapl/dataset_imigrantes/main/noticias_filtered/g1/venezuelanos/2022/07_ago/txt/g1_6eaf30e0-230f-11ed-b24f-6dbe51e79fca_2795.txt", "TXT")</f>
        <v/>
      </c>
    </row>
    <row r="57">
      <c r="A57" s="1" t="n">
        <v>55</v>
      </c>
      <c r="B57" t="n">
        <v>2022</v>
      </c>
      <c r="C57" s="2" t="n">
        <v>44776.73666972222</v>
      </c>
      <c r="D57" t="inlineStr">
        <is>
          <t>G1</t>
        </is>
      </c>
      <c r="E57" t="inlineStr">
        <is>
          <t>VENEZUELANOS</t>
        </is>
      </c>
      <c r="F57" t="inlineStr">
        <is>
          <t>TOCANTINS</t>
        </is>
      </c>
      <c r="G57" t="inlineStr">
        <is>
          <t>G1 TOCANTINS</t>
        </is>
      </c>
      <c r="H57" t="inlineStr">
        <is>
          <t>VENDEDOR DE FRUTAS SE EMOCIONA AO ENTRAR EM CARRO DESTRUÍDO E DIZ QUE OFENSAS NÃO PODEM SER APAGADAS: 'A QUESTÃO É RACIAL'</t>
        </is>
      </c>
      <c r="I57" t="inlineStr">
        <is>
          <t>COMERCIANTE DE PALMAS TEVE O CARRO INCENDIADO NA AVENIDA TEOTÔNIO SEGURADO E PERDEU TODA A MERCADORIA. AGRESSOR TERIA FEITO AMEAÇAS UM DIA ANTES DO ATAQUE. AMIGOS ORGANIZARAM UMA VAQUINHA ONLINE PARA AJUDAR COM OS PREJUÍZOS.</t>
        </is>
      </c>
      <c r="J57">
        <f>HYPERLINK("https://g1.globo.com/to/tocantins/noticia/2022/08/03/vendedor-de-frutas-se-emociona-ao-entrar-em-carro-destruido-e-diz-que-ofensas-nao-podem-ser-apagadas-a-questao-e-racial.ghtml", "URL")</f>
        <v/>
      </c>
      <c r="K57">
        <f>HYPERLINK("https://raw.githubusercontent.com/marcosmapl/dataset_imigrantes/main/noticias_filtered/g1/venezuelanos/2022/07_ago/html/g1_a3f98374-2308-11ed-b24f-6dbe51e79fca_2394.html", "HTML")</f>
        <v/>
      </c>
      <c r="L57">
        <f>HYPERLINK("https://raw.githubusercontent.com/marcosmapl/dataset_imigrantes/main/noticias_filtered/g1/venezuelanos/2022/07_ago/txt/g1_a3f98374-2308-11ed-b24f-6dbe51e79fca_2394.txt", "TXT")</f>
        <v/>
      </c>
    </row>
    <row r="58">
      <c r="A58" s="1" t="n">
        <v>56</v>
      </c>
      <c r="B58" t="n">
        <v>2022</v>
      </c>
      <c r="C58" s="2" t="n">
        <v>44776.64518518518</v>
      </c>
      <c r="D58" t="inlineStr">
        <is>
          <t>A CRITICA</t>
        </is>
      </c>
      <c r="E58" t="inlineStr">
        <is>
          <t>VENEZUELANOS</t>
        </is>
      </c>
      <c r="F58" t="inlineStr">
        <is>
          <t>ENTRETENIMENTO</t>
        </is>
      </c>
      <c r="G58" t="inlineStr">
        <is>
          <t>ACRITICA.COM</t>
        </is>
      </c>
      <c r="H58" t="inlineStr">
        <is>
          <t>CELEBRA FIRE NIGHT PROMOVE NOITE DE ADORAÇÃO COM CASA WORSHIP E OUTROS</t>
        </is>
      </c>
      <c r="I58" t="inlineStr">
        <is>
          <t>DE ACORDO COM O PRESIDENTE DA CHAMA CHURCH, RICHARD MATTOS, O CELEBRA FIRE NIGHT PROMETE IMPACTAR MUITAS FAMÍLIAS E ESTIMA QUE MAIS DE 1,5 MIL PESSOAS PARTICIPEM DA CELEBRAÇÃO</t>
        </is>
      </c>
      <c r="J58">
        <f>HYPERLINK("https://www.acritica.com/entretenimento/celebra-fire-night-promove-noite-de-adorac-o-com-casa-worship-e-outros-1.277702", "URL")</f>
        <v/>
      </c>
      <c r="K58">
        <f>HYPERLINK("https://raw.githubusercontent.com/marcosmapl/dataset_imigrantes/main/noticias_filtered/a_critica/venezuelanos/2022/07_ago/html/1.277702_347.html", "HTML")</f>
        <v/>
      </c>
      <c r="L58">
        <f>HYPERLINK("https://raw.githubusercontent.com/marcosmapl/dataset_imigrantes/main/noticias_filtered/a_critica/venezuelanos/2022/07_ago/txt/1.277702_347.txt", "TXT")</f>
        <v/>
      </c>
    </row>
    <row r="59">
      <c r="A59" s="1" t="n">
        <v>57</v>
      </c>
      <c r="B59" t="n">
        <v>2022</v>
      </c>
      <c r="C59" s="2" t="n">
        <v>44776.59124100694</v>
      </c>
      <c r="D59" t="inlineStr">
        <is>
          <t>G1</t>
        </is>
      </c>
      <c r="E59" t="inlineStr">
        <is>
          <t>VENEZUELANOS</t>
        </is>
      </c>
      <c r="F59" t="inlineStr">
        <is>
          <t>AMAZONAS</t>
        </is>
      </c>
      <c r="G59" t="inlineStr">
        <is>
          <t>G1 AM</t>
        </is>
      </c>
      <c r="H59" t="inlineStr">
        <is>
          <t>MOTOCICLISTA VENEZUELANO MORRE EM ACIDENTE NA ZONA LESTE DE MANAUS</t>
        </is>
      </c>
      <c r="I59" t="inlineStr">
        <is>
          <t>HOMEM ERA MOTORISTA DE APLICATIVO E FAZIA UMA CORRIDA. PASSAGEIRO TAMBÉM FICOU FERIDO E FOI ENCAMINHADO PARA UM HOSPITAL DA CAPITAL</t>
        </is>
      </c>
      <c r="J59">
        <f>HYPERLINK("https://g1.globo.com/am/amazonas/noticia/2022/08/03/motociclista-venezuelano-morre-em-acidente-na-zona-leste-de-manaus.ghtml", "URL")</f>
        <v/>
      </c>
      <c r="K59">
        <f>HYPERLINK("https://raw.githubusercontent.com/marcosmapl/dataset_imigrantes/main/noticias_filtered/g1/venezuelanos/2022/07_ago/html/g1_f3c33362-2323-11ed-b24f-6dbe51e79fca_3838.html", "HTML")</f>
        <v/>
      </c>
      <c r="L59">
        <f>HYPERLINK("https://raw.githubusercontent.com/marcosmapl/dataset_imigrantes/main/noticias_filtered/g1/venezuelanos/2022/07_ago/txt/g1_f3c33362-2323-11ed-b24f-6dbe51e79fca_3838.txt", "TXT")</f>
        <v/>
      </c>
    </row>
    <row r="60">
      <c r="A60" s="1" t="n">
        <v>58</v>
      </c>
      <c r="B60" t="n">
        <v>2022</v>
      </c>
      <c r="C60" s="2" t="n">
        <v>44775.82854130787</v>
      </c>
      <c r="D60" t="inlineStr">
        <is>
          <t>G1</t>
        </is>
      </c>
      <c r="E60" t="inlineStr">
        <is>
          <t>VENEZUELANOS</t>
        </is>
      </c>
      <c r="F60" t="inlineStr">
        <is>
          <t>RORAIMA</t>
        </is>
      </c>
      <c r="G60" t="inlineStr">
        <is>
          <t>G1 RR — BOA VISTA</t>
        </is>
      </c>
      <c r="H60" t="inlineStr">
        <is>
          <t>REFUGIADOS E MIGRANTES VENEZUELANOS SÃO INCLUÍDOS NO CENSO DEMOGRÁFICO 2022</t>
        </is>
      </c>
      <c r="I60" t="inlineStr">
        <is>
          <t>OIM E ACNUR REALIZAM A COLETA DE DADOS SOBRE A POPULAÇÃO REFUGIADA E MIGRANTE VENEZUELANA EM RORAIMA. O CENSO DEMOGRÁFICO 2022 COMEÇOU NESSA SEGUNDA-FEIRA (1º).</t>
        </is>
      </c>
      <c r="J60">
        <f>HYPERLINK("https://g1.globo.com/rr/roraima/noticia/2022/08/02/refugiados-e-migrantes-venezuelanos-sao-incluidos-no-censo-demografico-2022.ghtml", "URL")</f>
        <v/>
      </c>
      <c r="K60">
        <f>HYPERLINK("https://raw.githubusercontent.com/marcosmapl/dataset_imigrantes/main/noticias_filtered/g1/venezuelanos/2022/07_ago/html/g1_7d5610fe-231a-11ed-b24f-6dbe51e79fca_3338.html", "HTML")</f>
        <v/>
      </c>
      <c r="L60">
        <f>HYPERLINK("https://raw.githubusercontent.com/marcosmapl/dataset_imigrantes/main/noticias_filtered/g1/venezuelanos/2022/07_ago/txt/g1_7d5610fe-231a-11ed-b24f-6dbe51e79fca_3338.txt", "TXT")</f>
        <v/>
      </c>
    </row>
    <row r="61">
      <c r="A61" s="1" t="n">
        <v>59</v>
      </c>
      <c r="B61" t="n">
        <v>2022</v>
      </c>
      <c r="C61" s="2" t="n">
        <v>44775.69272150463</v>
      </c>
      <c r="D61" t="inlineStr">
        <is>
          <t>G1</t>
        </is>
      </c>
      <c r="E61" t="inlineStr">
        <is>
          <t>VENEZUELANOS</t>
        </is>
      </c>
      <c r="F61" t="inlineStr">
        <is>
          <t>ACRE</t>
        </is>
      </c>
      <c r="G61" t="inlineStr">
        <is>
          <t>G1 AC — RIO BRANCO</t>
        </is>
      </c>
      <c r="H61" t="inlineStr">
        <is>
          <t>SAÚDE DESCARTA VARÍOLA DOS MACACOS EM DOIS IMIGRANTES QUE PASSARAM POR EXAMES NO AC</t>
        </is>
      </c>
      <c r="I61" t="inlineStr">
        <is>
          <t>SEGUEM EM INVESTIGAÇÃO DOIS CASOS DA DOENÇA, ENTRE ELES EM UMA CRIANÇA DE 3 ANOS. ESTADO TEM UM CASO CONFIRMADO DA DOENÇA.</t>
        </is>
      </c>
      <c r="J61">
        <f>HYPERLINK("https://g1.globo.com/ac/acre/noticia/2022/08/02/saude-descarta-variola-dos-macacos-em-dois-imigrantes-que-passaram-por-exames-no-ac.ghtml", "URL")</f>
        <v/>
      </c>
      <c r="K61">
        <f>HYPERLINK("https://raw.githubusercontent.com/marcosmapl/dataset_imigrantes/main/noticias_filtered/g1/venezuelanos/2022/07_ago/html/g1_447127a4-2326-11ed-b24f-6dbe51e79fca_3965.html", "HTML")</f>
        <v/>
      </c>
      <c r="L61">
        <f>HYPERLINK("https://raw.githubusercontent.com/marcosmapl/dataset_imigrantes/main/noticias_filtered/g1/venezuelanos/2022/07_ago/txt/g1_447127a4-2326-11ed-b24f-6dbe51e79fca_3965.txt", "TXT")</f>
        <v/>
      </c>
    </row>
    <row r="62">
      <c r="A62" s="1" t="n">
        <v>60</v>
      </c>
      <c r="B62" t="n">
        <v>2022</v>
      </c>
      <c r="C62" s="2" t="n">
        <v>44774.84445663194</v>
      </c>
      <c r="D62" t="inlineStr">
        <is>
          <t>G1</t>
        </is>
      </c>
      <c r="E62" t="inlineStr">
        <is>
          <t>VENEZUELANOS</t>
        </is>
      </c>
      <c r="F62" t="inlineStr">
        <is>
          <t>SANTA CATARINA</t>
        </is>
      </c>
      <c r="G62" t="inlineStr">
        <is>
          <t>JOANA CALDAS, G1 SC</t>
        </is>
      </c>
      <c r="H62" t="inlineStr">
        <is>
          <t>BABÁS SUSPEITOS DE MATAR BEBÊ POR ESPANCAMENTO EM SC SÃO DENUNCIADOS</t>
        </is>
      </c>
      <c r="I62" t="inlineStr">
        <is>
          <t>HOMEM DE 21 ANOS E MULHER DE 20 DEVEM RESPONDER POR HOMICÍDIO TRIPLAMENTE QUALIFICADO. BEBÊ DE 3 MESES MORAVA EM CAÇADOR E MORREU EM 21 DE JULHO.</t>
        </is>
      </c>
      <c r="J62">
        <f>HYPERLINK("https://g1.globo.com/sc/santa-catarina/noticia/2022/08/01/babas-suspeitos-de-matar-bebe-por-espancamento-em-sc-sao-denunciados.ghtml", "URL")</f>
        <v/>
      </c>
      <c r="K62">
        <f>HYPERLINK("https://raw.githubusercontent.com/marcosmapl/dataset_imigrantes/main/noticias_filtered/g1/venezuelanos/2022/07_ago/html/g1_05cb8eca-2314-11ed-b24f-6dbe51e79fca_3040.html", "HTML")</f>
        <v/>
      </c>
      <c r="L62">
        <f>HYPERLINK("https://raw.githubusercontent.com/marcosmapl/dataset_imigrantes/main/noticias_filtered/g1/venezuelanos/2022/07_ago/txt/g1_05cb8eca-2314-11ed-b24f-6dbe51e79fca_3040.txt", "TXT")</f>
        <v/>
      </c>
    </row>
    <row r="63">
      <c r="A63" s="1" t="n">
        <v>61</v>
      </c>
      <c r="B63" t="n">
        <v>2022</v>
      </c>
      <c r="C63" s="2" t="n">
        <v>44774.80778474537</v>
      </c>
      <c r="D63" t="inlineStr">
        <is>
          <t>G1</t>
        </is>
      </c>
      <c r="E63" t="inlineStr">
        <is>
          <t>VENEZUELANOS</t>
        </is>
      </c>
      <c r="F63" t="inlineStr">
        <is>
          <t>BAURU E MARÍLIA</t>
        </is>
      </c>
      <c r="G63" t="inlineStr">
        <is>
          <t>G1 BAURU E MARÍLIA</t>
        </is>
      </c>
      <c r="H63" t="inlineStr">
        <is>
          <t>HOMEM É MULTADO EM MAIS DE R$ 30 MIL POR MANTER PÁSSAROS EXÓTICOS E AMEAÇADOS DE EXTINÇÃO EM CATIVEIRO EM MINEIROS DO TIETÊ</t>
        </is>
      </c>
      <c r="I63" t="inlineStr">
        <is>
          <t>POLICIAIS AINDA ENCONTRARAM CINCO PÁSSARO DA ESPÉCIE PINTASSILGO DA VENEZUELA. ESSA AVE, ALÉM DE EXÓTICA, ESTÁ AMEAÇADA DE EXTINÇÃO. APREENSÃO FOI NO DOMINGO (31).</t>
        </is>
      </c>
      <c r="J63">
        <f>HYPERLINK("https://g1.globo.com/sp/bauru-marilia/noticia/2022/08/01/homem-e-multado-em-mais-de-r-30-mil-por-manter-passaros-exoticos-e-ameacados-de-extincao-em-cativeiro-em-mineiros-do-tiete.ghtml", "URL")</f>
        <v/>
      </c>
      <c r="K63">
        <f>HYPERLINK("https://raw.githubusercontent.com/marcosmapl/dataset_imigrantes/main/noticias_filtered/g1/venezuelanos/2022/07_ago/html/g1_1027e5d0-2323-11ed-b24f-6dbe51e79fca_3785.html", "HTML")</f>
        <v/>
      </c>
      <c r="L63">
        <f>HYPERLINK("https://raw.githubusercontent.com/marcosmapl/dataset_imigrantes/main/noticias_filtered/g1/venezuelanos/2022/07_ago/txt/g1_1027e5d0-2323-11ed-b24f-6dbe51e79fca_3785.txt", "TXT")</f>
        <v/>
      </c>
    </row>
    <row r="64">
      <c r="A64" s="1" t="n">
        <v>62</v>
      </c>
      <c r="B64" t="n">
        <v>2022</v>
      </c>
      <c r="C64" s="2" t="n">
        <v>44773.5003453125</v>
      </c>
      <c r="D64" t="inlineStr">
        <is>
          <t>G1</t>
        </is>
      </c>
      <c r="E64" t="inlineStr">
        <is>
          <t>VENEZUELANOS</t>
        </is>
      </c>
      <c r="F64" t="inlineStr">
        <is>
          <t>ACRE</t>
        </is>
      </c>
      <c r="G64" t="inlineStr">
        <is>
          <t>G1 AC — RIO BRANCO</t>
        </is>
      </c>
      <c r="H64" t="inlineStr">
        <is>
          <t>VOCÊ VIU? ACIDENTE DEIXA CINCO MORTOS NA BR-317, INCÊNDIO DESTRÓI LOJA AGROPECUÁRIA, CAVALGADA E MAIS</t>
        </is>
      </c>
      <c r="I64" t="inlineStr">
        <is>
          <t>REVEJA ALGUMAS DAS MATÉRIAS PUBLICADAS NO G1 ACRE NA SEMANA DE 25 A 30 DE JULHO.</t>
        </is>
      </c>
      <c r="J64">
        <f>HYPERLINK("https://g1.globo.com/ac/acre/noticia/2022/07/31/voce-viu-acidente-deixa-cinco-mortos-na-br-317-incendio-destroi-loja-agropecuaria-cavalgada-e-mais.ghtml", "URL")</f>
        <v/>
      </c>
      <c r="K64">
        <f>HYPERLINK("https://raw.githubusercontent.com/marcosmapl/dataset_imigrantes/main/noticias_filtered/g1/venezuelanos/2022/06_jul/html/g1_64f5dd20-2309-11ed-b24f-6dbe51e79fca_2441.html", "HTML")</f>
        <v/>
      </c>
      <c r="L64">
        <f>HYPERLINK("https://raw.githubusercontent.com/marcosmapl/dataset_imigrantes/main/noticias_filtered/g1/venezuelanos/2022/06_jul/txt/g1_64f5dd20-2309-11ed-b24f-6dbe51e79fca_2441.txt", "TXT")</f>
        <v/>
      </c>
    </row>
    <row r="65">
      <c r="A65" s="1" t="n">
        <v>63</v>
      </c>
      <c r="B65" t="n">
        <v>2022</v>
      </c>
      <c r="C65" s="2" t="n">
        <v>44773.40611111111</v>
      </c>
      <c r="D65" t="inlineStr">
        <is>
          <t>A CRITICA</t>
        </is>
      </c>
      <c r="E65" t="inlineStr">
        <is>
          <t>VENEZUELANOS</t>
        </is>
      </c>
      <c r="F65" t="inlineStr">
        <is>
          <t>POLICIA</t>
        </is>
      </c>
      <c r="G65" t="inlineStr">
        <is>
          <t>ACRITICA.COM</t>
        </is>
      </c>
      <c r="H65" t="inlineStr">
        <is>
          <t>CORPO ESQUARTEJADO É ACHADO EM SACOLAS DE PLÁSTICO NO CENTRO</t>
        </is>
      </c>
      <c r="I65" t="inlineStr">
        <is>
          <t>DELEGACIA ESPECIALIZADA EM HOMICÍDIOS LIDA COM HIPÓTESE DE QUE O CORPO SEJA DE UM VENEZUELANO</t>
        </is>
      </c>
      <c r="J65">
        <f>HYPERLINK("https://www.acritica.com/policia/corpo-esquartejado-e-achado-em-sacolas-de-plastico-no-centro-1.277391", "URL")</f>
        <v/>
      </c>
      <c r="K65">
        <f>HYPERLINK("https://raw.githubusercontent.com/marcosmapl/dataset_imigrantes/main/noticias_filtered/a_critica/venezuelanos/2022/06_jul/html/1.277391_969.html", "HTML")</f>
        <v/>
      </c>
      <c r="L65">
        <f>HYPERLINK("https://raw.githubusercontent.com/marcosmapl/dataset_imigrantes/main/noticias_filtered/a_critica/venezuelanos/2022/06_jul/txt/1.277391_969.txt", "TXT")</f>
        <v/>
      </c>
    </row>
    <row r="66">
      <c r="A66" s="1" t="n">
        <v>64</v>
      </c>
      <c r="B66" t="n">
        <v>2022</v>
      </c>
      <c r="C66" s="2" t="n">
        <v>44773.36090277778</v>
      </c>
      <c r="D66" t="inlineStr">
        <is>
          <t>A CRITICA</t>
        </is>
      </c>
      <c r="E66" t="inlineStr">
        <is>
          <t>VENEZUELANOS</t>
        </is>
      </c>
      <c r="F66" t="inlineStr">
        <is>
          <t>GERAL</t>
        </is>
      </c>
      <c r="G66" t="inlineStr">
        <is>
          <t>AGÊNCIA BRASIL</t>
        </is>
      </c>
      <c r="H66" t="inlineStr">
        <is>
          <t>IBGE LANÇA, NESTA SEGUNDA-FEIRA, O CENSO 2022</t>
        </is>
      </c>
      <c r="I66" t="inlineStr">
        <is>
          <t>O 13º CENSO DEMOGRÁFICO DO BRASIL SERÁ REALIZADO DURANTE DOIS MESES E MEIO</t>
        </is>
      </c>
      <c r="J66">
        <f>HYPERLINK("https://www.acritica.com/geral/ibge-lanca-nesta-segunda-feira-o-censo-2022-1.277389", "URL")</f>
        <v/>
      </c>
      <c r="K66">
        <f>HYPERLINK("https://raw.githubusercontent.com/marcosmapl/dataset_imigrantes/main/noticias_filtered/a_critica/venezuelanos/2022/06_jul/html/1.277389_1194.html", "HTML")</f>
        <v/>
      </c>
      <c r="L66">
        <f>HYPERLINK("https://raw.githubusercontent.com/marcosmapl/dataset_imigrantes/main/noticias_filtered/a_critica/venezuelanos/2022/06_jul/txt/1.277389_1194.txt", "TXT")</f>
        <v/>
      </c>
    </row>
    <row r="67">
      <c r="A67" s="1" t="n">
        <v>65</v>
      </c>
      <c r="B67" t="n">
        <v>2022</v>
      </c>
      <c r="C67" s="2" t="n">
        <v>44772.73916791667</v>
      </c>
      <c r="D67" t="inlineStr">
        <is>
          <t>G1</t>
        </is>
      </c>
      <c r="E67" t="inlineStr">
        <is>
          <t>VENEZUELANOS</t>
        </is>
      </c>
      <c r="F67" t="inlineStr">
        <is>
          <t>ACRE</t>
        </is>
      </c>
      <c r="G67" t="inlineStr">
        <is>
          <t>JANINE BRASIL, G1 AC — RIO BRANCO</t>
        </is>
      </c>
      <c r="H67" t="inlineStr">
        <is>
          <t>EM RIO BRANCO, FAMÍLIA VENEZUELANA BUSCA ATENDIMENTO EM UPA COM SUSPEITA DE VARÍOLA DOS MACACOS</t>
        </is>
      </c>
      <c r="I67" t="inlineStr">
        <is>
          <t>PAI, MÃE E UMA CRIANÇA FORAM ATÉ A UPA DA SOBRAL, NA CAPITAL ACREANA, NESSA SEXTA-FEIRA (29), PARA FAZER EXAMES. ESTADO INFORMOU QUE APENAS A MULHER E O FILHO APRESENTAM SINTOMAS DA DOENÇA.</t>
        </is>
      </c>
      <c r="J67">
        <f>HYPERLINK("https://g1.globo.com/ac/acre/noticia/2022/07/30/em-rio-branco-familia-venezuelana-busca-atendimento-em-upa-com-suspeita-de-variola-dos-macacos.ghtml", "URL")</f>
        <v/>
      </c>
      <c r="K67">
        <f>HYPERLINK("https://raw.githubusercontent.com/marcosmapl/dataset_imigrantes/main/noticias_filtered/g1/venezuelanos/2022/06_jul/html/g1_65993276-231e-11ed-b24f-6dbe51e79fca_3559.html", "HTML")</f>
        <v/>
      </c>
      <c r="L67">
        <f>HYPERLINK("https://raw.githubusercontent.com/marcosmapl/dataset_imigrantes/main/noticias_filtered/g1/venezuelanos/2022/06_jul/txt/g1_65993276-231e-11ed-b24f-6dbe51e79fca_3559.txt", "TXT")</f>
        <v/>
      </c>
    </row>
    <row r="68">
      <c r="A68" s="1" t="n">
        <v>66</v>
      </c>
      <c r="B68" t="n">
        <v>2022</v>
      </c>
      <c r="C68" s="2" t="n">
        <v>44771.6820196875</v>
      </c>
      <c r="D68" t="inlineStr">
        <is>
          <t>G1</t>
        </is>
      </c>
      <c r="E68" t="inlineStr">
        <is>
          <t>VENEZUELANOS</t>
        </is>
      </c>
      <c r="F68" t="inlineStr">
        <is>
          <t>MUNDO</t>
        </is>
      </c>
      <c r="G68" t="inlineStr">
        <is>
          <t>REUTERS</t>
        </is>
      </c>
      <c r="H68" t="inlineStr">
        <is>
          <t>JUSTIÇA DE LONDRES DECIDE CONTRA MADURO EM BATALHA POR US$1 BILHÃO EM OURO</t>
        </is>
      </c>
      <c r="I68" t="inlineStr">
        <is>
          <t>FOI A MAIS RECENTE VITÓRIA DE JUAN GUAIDÓ, QUE VENCEU UMA SÉRIE DE CONFRONTOS JURÍDICOS SOBRE O OURO DEPOIS QUE O GOVERNO BRITÂNICO O RECONHECEU, EM VEZ DE MADURO, COMO PRESIDENTE DA VENEZUELA.</t>
        </is>
      </c>
      <c r="J68">
        <f>HYPERLINK("https://g1.globo.com/mundo/noticia/2022/07/29/justica-de-londres-decide-contra-maduro-em-batalha-por-us-1-bilhao-em-ouro.ghtml", "URL")</f>
        <v/>
      </c>
      <c r="K68">
        <f>HYPERLINK("https://raw.githubusercontent.com/marcosmapl/dataset_imigrantes/main/noticias_filtered/g1/venezuelanos/2022/06_jul/html/g1_7f705376-2311-11ed-b24f-6dbe51e79fca_2918.html", "HTML")</f>
        <v/>
      </c>
      <c r="L68">
        <f>HYPERLINK("https://raw.githubusercontent.com/marcosmapl/dataset_imigrantes/main/noticias_filtered/g1/venezuelanos/2022/06_jul/txt/g1_7f705376-2311-11ed-b24f-6dbe51e79fca_2918.txt", "TXT")</f>
        <v/>
      </c>
    </row>
    <row r="69">
      <c r="A69" s="1" t="n">
        <v>67</v>
      </c>
      <c r="B69" t="n">
        <v>2022</v>
      </c>
      <c r="C69" s="2" t="n">
        <v>44771.56056662037</v>
      </c>
      <c r="D69" t="inlineStr">
        <is>
          <t>G1</t>
        </is>
      </c>
      <c r="E69" t="inlineStr">
        <is>
          <t>VENEZUELANOS</t>
        </is>
      </c>
      <c r="F69" t="inlineStr">
        <is>
          <t>RORAIMA</t>
        </is>
      </c>
      <c r="G69" t="inlineStr">
        <is>
          <t>G1 RR — BOA VISTA</t>
        </is>
      </c>
      <c r="H69" t="inlineStr">
        <is>
          <t>JOVEM É ASSASSINADO A FACADAS POR AMIGO NA FRENTE DE CASA EM BOA VISTA</t>
        </is>
      </c>
      <c r="I69" t="inlineStr">
        <is>
          <t>VÍTIMA ERA BRAYAN JOSE MENDOZA MENDOZA E TINHA 21 ANOS. SUSPEITO FUGIU, MAS DISSE QUE O AMIGO ERA AMIGO DOS INIMIGOS DELE.</t>
        </is>
      </c>
      <c r="J69">
        <f>HYPERLINK("https://g1.globo.com/rr/roraima/noticia/2022/07/29/jovem-e-assassinado-a-facadas-por-amigo-na-frente-de-casa-em-boa-vista.ghtml", "URL")</f>
        <v/>
      </c>
      <c r="K69">
        <f>HYPERLINK("https://raw.githubusercontent.com/marcosmapl/dataset_imigrantes/main/noticias_filtered/g1/venezuelanos/2022/06_jul/html/g1_12529f42-232a-11ed-b24f-6dbe51e79fca_4155.html", "HTML")</f>
        <v/>
      </c>
      <c r="L69">
        <f>HYPERLINK("https://raw.githubusercontent.com/marcosmapl/dataset_imigrantes/main/noticias_filtered/g1/venezuelanos/2022/06_jul/txt/g1_12529f42-232a-11ed-b24f-6dbe51e79fca_4155.txt", "TXT")</f>
        <v/>
      </c>
    </row>
    <row r="70">
      <c r="A70" s="1" t="n">
        <v>68</v>
      </c>
      <c r="B70" t="n">
        <v>2022</v>
      </c>
      <c r="C70" s="2" t="n">
        <v>44770.7959375</v>
      </c>
      <c r="D70" t="inlineStr">
        <is>
          <t>A CRITICA</t>
        </is>
      </c>
      <c r="E70" t="inlineStr">
        <is>
          <t>VENEZUELANOS</t>
        </is>
      </c>
      <c r="F70" t="inlineStr">
        <is>
          <t>POLICIA</t>
        </is>
      </c>
      <c r="G70" t="inlineStr">
        <is>
          <t>THIAGO MONTEIRO</t>
        </is>
      </c>
      <c r="H70" t="inlineStr">
        <is>
          <t>DUPLA É PRESA PELO ASSASSINATO DE IRMÃOS VENEZUELANOS EM PRESIDENTE FIGUEIREDO</t>
        </is>
      </c>
      <c r="I70" t="inlineStr">
        <is>
          <t>YAGO REIS COELHO, 30, E MURILO RÔMULO MELO MARTINS, 22, FORAM PRESOS POR ENVOLVIMENTO NO DUPLO HOMICÍDIO QUALIFICADO DOS IRMÃOS VENEZUELANOS ABRAHAM MANUEL HERNANDEZ ARMAS, 25, E ISAAC DAVI HERNANDES ARMAS, 23</t>
        </is>
      </c>
      <c r="J70">
        <f>HYPERLINK("https://www.acritica.com/policia/dupla-e-presa-pelo-assassinato-de-irm-os-venezuelanos-em-presidente-figueiredo-1.277198", "URL")</f>
        <v/>
      </c>
      <c r="K70">
        <f>HYPERLINK("https://raw.githubusercontent.com/marcosmapl/dataset_imigrantes/main/noticias_filtered/a_critica/venezuelanos/2022/06_jul/html/1.277198_133.html", "HTML")</f>
        <v/>
      </c>
      <c r="L70">
        <f>HYPERLINK("https://raw.githubusercontent.com/marcosmapl/dataset_imigrantes/main/noticias_filtered/a_critica/venezuelanos/2022/06_jul/txt/1.277198_133.txt", "TXT")</f>
        <v/>
      </c>
    </row>
    <row r="71">
      <c r="A71" s="1" t="n">
        <v>69</v>
      </c>
      <c r="B71" t="n">
        <v>2022</v>
      </c>
      <c r="C71" s="2" t="n">
        <v>44770.76127194444</v>
      </c>
      <c r="D71" t="inlineStr">
        <is>
          <t>G1</t>
        </is>
      </c>
      <c r="E71" t="inlineStr">
        <is>
          <t>VENEZUELANOS</t>
        </is>
      </c>
      <c r="F71" t="inlineStr">
        <is>
          <t>RORAIMA</t>
        </is>
      </c>
      <c r="G71" t="inlineStr">
        <is>
          <t>G1 RR — BOA VISTA</t>
        </is>
      </c>
      <c r="H71" t="inlineStr">
        <is>
          <t>ATOR KLEBBER TOLEDO VISITA ABRIGOS PARA REFUGIADOS VENEZUELANOS EM BOA VISTA</t>
        </is>
      </c>
      <c r="I71" t="inlineStr">
        <is>
          <t>ARTISTA DISSE QUE CHEGOU EM RORAIMA NESTA MADRUGADA APÓS TER O VOO CANCELADO. ELE ESTEVE NO ABRIGO INDÍGENA WARAO, LOCALIZADO NO BAIRRO TREZE DE SETEMBRO.</t>
        </is>
      </c>
      <c r="J71">
        <f>HYPERLINK("https://g1.globo.com/rr/roraima/noticia/2022/07/28/ator-klebber-toledo-visita-abrigos-para-refugiados-venezuelanos-em-boa-vista.ghtml", "URL")</f>
        <v/>
      </c>
      <c r="K71">
        <f>HYPERLINK("https://raw.githubusercontent.com/marcosmapl/dataset_imigrantes/main/noticias_filtered/g1/venezuelanos/2022/06_jul/html/g1_4df720f8-2317-11ed-b24f-6dbe51e79fca_3199.html", "HTML")</f>
        <v/>
      </c>
      <c r="L71">
        <f>HYPERLINK("https://raw.githubusercontent.com/marcosmapl/dataset_imigrantes/main/noticias_filtered/g1/venezuelanos/2022/06_jul/txt/g1_4df720f8-2317-11ed-b24f-6dbe51e79fca_3199.txt", "TXT")</f>
        <v/>
      </c>
    </row>
    <row r="72">
      <c r="A72" s="1" t="n">
        <v>70</v>
      </c>
      <c r="B72" t="n">
        <v>2022</v>
      </c>
      <c r="C72" s="2" t="n">
        <v>44770.73092644676</v>
      </c>
      <c r="D72" t="inlineStr">
        <is>
          <t>G1</t>
        </is>
      </c>
      <c r="E72" t="inlineStr">
        <is>
          <t>VENEZUELANOS</t>
        </is>
      </c>
      <c r="F72" t="inlineStr">
        <is>
          <t>MUNDO</t>
        </is>
      </c>
      <c r="G72" t="inlineStr">
        <is>
          <t>FRANCE PRESSE</t>
        </is>
      </c>
      <c r="H72" t="inlineStr">
        <is>
          <t>ACIDENTE NA NICARÁGUA DEIXA 16 MORTOS, A MAIORIA VENEZUELANOS</t>
        </is>
      </c>
      <c r="I72" t="inlineStr">
        <is>
          <t>ENTRE AS VÍTIMAS ESTÃO 5 MULHERES E 11 HOMENS. O INCIDENTE OCORREU NA ÁREA CONHECIDA COMO CUCAMONGA</t>
        </is>
      </c>
      <c r="J72">
        <f>HYPERLINK("https://g1.globo.com/mundo/noticia/2022/07/28/acidente-na-nicaragua-deixa-mortos-a-maioria-venezuelanos.ghtml", "URL")</f>
        <v/>
      </c>
      <c r="K72">
        <f>HYPERLINK("https://raw.githubusercontent.com/marcosmapl/dataset_imigrantes/main/noticias_filtered/g1/venezuelanos/2022/06_jul/html/g1_3a2a6d5e-232c-11ed-b24f-6dbe51e79fca_4292.html", "HTML")</f>
        <v/>
      </c>
      <c r="L72">
        <f>HYPERLINK("https://raw.githubusercontent.com/marcosmapl/dataset_imigrantes/main/noticias_filtered/g1/venezuelanos/2022/06_jul/txt/g1_3a2a6d5e-232c-11ed-b24f-6dbe51e79fca_4292.txt", "TXT")</f>
        <v/>
      </c>
    </row>
    <row r="73">
      <c r="A73" s="1" t="n">
        <v>71</v>
      </c>
      <c r="B73" t="n">
        <v>2022</v>
      </c>
      <c r="C73" s="2" t="n">
        <v>44769.94017686343</v>
      </c>
      <c r="D73" t="inlineStr">
        <is>
          <t>G1</t>
        </is>
      </c>
      <c r="E73" t="inlineStr">
        <is>
          <t>VENEZUELANOS</t>
        </is>
      </c>
      <c r="F73" t="inlineStr">
        <is>
          <t>AMAZONAS</t>
        </is>
      </c>
      <c r="G73" t="inlineStr">
        <is>
          <t>G1 AM</t>
        </is>
      </c>
      <c r="H73" t="inlineStr">
        <is>
          <t>VENEZUELANOS SÃO MORTOS A TIROS NA GRUTA DO RAIO EM PRESIDENTE FIGUEIREDO, NO AM</t>
        </is>
      </c>
      <c r="I73" t="inlineStr">
        <is>
          <t>SUSPEITOS DE COMETEREM O CRIME FUGIRAM DO LOCAL E NÃO FORAM LOCALIZADOS PELA POLÍCIA.</t>
        </is>
      </c>
      <c r="J73">
        <f>HYPERLINK("https://g1.globo.com/am/amazonas/noticia/2022/07/27/venezuelanos-sao-mortos-a-tiros-na-gruta-do-raio-em-presidente-figueiredo-no-am.ghtml", "URL")</f>
        <v/>
      </c>
      <c r="K73">
        <f>HYPERLINK("https://raw.githubusercontent.com/marcosmapl/dataset_imigrantes/main/noticias_filtered/g1/venezuelanos/2022/06_jul/html/g1_aa8b5252-2313-11ed-b24f-6dbe51e79fca_3020.html", "HTML")</f>
        <v/>
      </c>
      <c r="L73">
        <f>HYPERLINK("https://raw.githubusercontent.com/marcosmapl/dataset_imigrantes/main/noticias_filtered/g1/venezuelanos/2022/06_jul/txt/g1_aa8b5252-2313-11ed-b24f-6dbe51e79fca_3020.txt", "TXT")</f>
        <v/>
      </c>
    </row>
    <row r="74">
      <c r="A74" s="1" t="n">
        <v>72</v>
      </c>
      <c r="B74" t="n">
        <v>2022</v>
      </c>
      <c r="C74" s="2" t="n">
        <v>44769.58802083333</v>
      </c>
      <c r="D74" t="inlineStr">
        <is>
          <t>A CRITICA</t>
        </is>
      </c>
      <c r="E74" t="inlineStr">
        <is>
          <t>VENEZUELANOS</t>
        </is>
      </c>
      <c r="F74" t="inlineStr">
        <is>
          <t>POLICIA</t>
        </is>
      </c>
      <c r="G74" t="inlineStr">
        <is>
          <t>THIAGO MONTEIRO</t>
        </is>
      </c>
      <c r="H74" t="inlineStr">
        <is>
          <t>OITO SÃO INVESTIGADOS POR ENVOLVIMENTO NO DUPLO HOMICÍDIO DE VENEZUELANOS EM PRESIDENTE FIGUEIREDO</t>
        </is>
      </c>
      <c r="I74" t="inlineStr">
        <is>
          <t>OS IRMÃOS VENEZUELANOS ABRAHAM MANUEL HERNANDES ARMAS E ISAAC DAVI HERNANDES ARMAS, AMBOS COM 23 ANOS, FORAM MORTOS ONTEM (26), NO BAIRRO AILDA MENDONÇA, NO MUNICÍPIO</t>
        </is>
      </c>
      <c r="J74">
        <f>HYPERLINK("https://www.acritica.com/policia/oito-s-o-investigados-por-envolvimento-no-duplo-homicidio-de-venezuelanos-em-presidente-figueiredo-1.277055", "URL")</f>
        <v/>
      </c>
      <c r="K74">
        <f>HYPERLINK("https://raw.githubusercontent.com/marcosmapl/dataset_imigrantes/main/noticias_filtered/a_critica/venezuelanos/2022/06_jul/html/1.277055_150.html", "HTML")</f>
        <v/>
      </c>
      <c r="L74">
        <f>HYPERLINK("https://raw.githubusercontent.com/marcosmapl/dataset_imigrantes/main/noticias_filtered/a_critica/venezuelanos/2022/06_jul/txt/1.277055_150.txt", "TXT")</f>
        <v/>
      </c>
    </row>
    <row r="75">
      <c r="A75" s="1" t="n">
        <v>73</v>
      </c>
      <c r="B75" t="n">
        <v>2022</v>
      </c>
      <c r="C75" s="2" t="n">
        <v>44768.89564357639</v>
      </c>
      <c r="D75" t="inlineStr">
        <is>
          <t>G1</t>
        </is>
      </c>
      <c r="E75" t="inlineStr">
        <is>
          <t>VENEZUELANOS</t>
        </is>
      </c>
      <c r="F75" t="inlineStr">
        <is>
          <t>MUNDO</t>
        </is>
      </c>
      <c r="G75" t="inlineStr">
        <is>
          <t>BBC</t>
        </is>
      </c>
      <c r="H75" t="inlineStr">
        <is>
          <t>A ONDA DE VENEZUELANOS QUE BUSCAM ASILO NA GELADA ISLÂNDIA</t>
        </is>
      </c>
      <c r="I75" t="inlineStr">
        <is>
          <t>EM 2021, VENEZUELANOS FORAM NACIONALIDADE COM MAIOR NÚMERO DE PEDIDOS DE ASILO ACEITOS NA ISLÂNDIA. A MAIORIA TENTA SE ADAPTAR A UM PAÍS COM UMA LÍNGUA E UM CLIMA TOTALMENTE DIFERENTES.</t>
        </is>
      </c>
      <c r="J75">
        <f>HYPERLINK("https://g1.globo.com/mundo/noticia/2022/07/26/a-onda-de-venezuelanos-que-buscam-asilo-na-gelada-islandia.ghtml", "URL")</f>
        <v/>
      </c>
      <c r="K75">
        <f>HYPERLINK("https://raw.githubusercontent.com/marcosmapl/dataset_imigrantes/main/noticias_filtered/g1/venezuelanos/2022/06_jul/html/g1_fccaa290-2320-11ed-b24f-6dbe51e79fca_3674.html", "HTML")</f>
        <v/>
      </c>
      <c r="L75">
        <f>HYPERLINK("https://raw.githubusercontent.com/marcosmapl/dataset_imigrantes/main/noticias_filtered/g1/venezuelanos/2022/06_jul/txt/g1_fccaa290-2320-11ed-b24f-6dbe51e79fca_3674.txt", "TXT")</f>
        <v/>
      </c>
    </row>
    <row r="76">
      <c r="A76" s="1" t="n">
        <v>74</v>
      </c>
      <c r="B76" t="n">
        <v>2022</v>
      </c>
      <c r="C76" s="2" t="n">
        <v>44768.83215148148</v>
      </c>
      <c r="D76" t="inlineStr">
        <is>
          <t>G1</t>
        </is>
      </c>
      <c r="E76" t="inlineStr">
        <is>
          <t>VENEZUELANOS</t>
        </is>
      </c>
      <c r="F76" t="inlineStr">
        <is>
          <t>BAHIA</t>
        </is>
      </c>
      <c r="G76" t="inlineStr">
        <is>
          <t>G1 BA E TV SUBAÉ</t>
        </is>
      </c>
      <c r="H76" t="inlineStr">
        <is>
          <t>VENEZUELANA QUE FAZ MESTRADO NA BAHIA FAZ VAQUINHA PARA CURSAR DOUTORADO NOS ESTADOS UNIDOS</t>
        </is>
      </c>
      <c r="I76" t="inlineStr">
        <is>
          <t>GLADYS PANTOJA PRECISA DE AO MENOS R$ 15 MIL PARA REALIZAR SONHO.</t>
        </is>
      </c>
      <c r="J76">
        <f>HYPERLINK("https://g1.globo.com/ba/bahia/noticia/2022/07/26/venezuelana-que-faz-mestrado-na-bahia-faz-vaquinha-para-cursar-doutorado-nos-estados-unidos.ghtml", "URL")</f>
        <v/>
      </c>
      <c r="K76">
        <f>HYPERLINK("https://raw.githubusercontent.com/marcosmapl/dataset_imigrantes/main/noticias_filtered/g1/venezuelanos/2022/06_jul/html/g1_27662c28-2311-11ed-b24f-6dbe51e79fca_2902.html", "HTML")</f>
        <v/>
      </c>
      <c r="L76">
        <f>HYPERLINK("https://raw.githubusercontent.com/marcosmapl/dataset_imigrantes/main/noticias_filtered/g1/venezuelanos/2022/06_jul/txt/g1_27662c28-2311-11ed-b24f-6dbe51e79fca_2902.txt", "TXT")</f>
        <v/>
      </c>
    </row>
    <row r="77">
      <c r="A77" s="1" t="n">
        <v>75</v>
      </c>
      <c r="B77" t="n">
        <v>2022</v>
      </c>
      <c r="C77" s="2" t="n">
        <v>44768.56277226852</v>
      </c>
      <c r="D77" t="inlineStr">
        <is>
          <t>G1</t>
        </is>
      </c>
      <c r="E77" t="inlineStr">
        <is>
          <t>VENEZUELANOS</t>
        </is>
      </c>
      <c r="F77" t="inlineStr">
        <is>
          <t>ALAGOAS</t>
        </is>
      </c>
      <c r="G77" t="inlineStr">
        <is>
          <t>G1 AL</t>
        </is>
      </c>
      <c r="H77" t="inlineStr">
        <is>
          <t>MACEIÓ GANHA NOVO PRAZO PARA EXECUTAR PLANO DE ASSISTÊNCIA A INDÍGENAS VENEZUELANOS REFUGIADOS</t>
        </is>
      </c>
      <c r="I77" t="inlineStr">
        <is>
          <t>MUNICÍPIO RECEBEU CERCA DE R$ 760 MIL DO FECOEP, MAS CORRE O RISCO DE PERDER VERBA CASO NÃO REALIZE AÇÕES. MPF RENOVOU O PRAZO POR MAIS 30 DIAS.</t>
        </is>
      </c>
      <c r="J77">
        <f>HYPERLINK("https://g1.globo.com/al/alagoas/noticia/2022/07/26/maceio-ganha-novo-prazo-para-executar-plano-de-assistencia-a-indigenas-venezuelanos-refugiados.ghtml", "URL")</f>
        <v/>
      </c>
      <c r="K77">
        <f>HYPERLINK("https://raw.githubusercontent.com/marcosmapl/dataset_imigrantes/main/noticias_filtered/g1/venezuelanos/2022/06_jul/html/g1_7744ed32-232b-11ed-b24f-6dbe51e79fca_4248.html", "HTML")</f>
        <v/>
      </c>
      <c r="L77">
        <f>HYPERLINK("https://raw.githubusercontent.com/marcosmapl/dataset_imigrantes/main/noticias_filtered/g1/venezuelanos/2022/06_jul/txt/g1_7744ed32-232b-11ed-b24f-6dbe51e79fca_4248.txt", "TXT")</f>
        <v/>
      </c>
    </row>
    <row r="78">
      <c r="A78" s="1" t="n">
        <v>76</v>
      </c>
      <c r="B78" t="n">
        <v>2022</v>
      </c>
      <c r="C78" s="2" t="n">
        <v>44768.04424170139</v>
      </c>
      <c r="D78" t="inlineStr">
        <is>
          <t>G1</t>
        </is>
      </c>
      <c r="E78" t="inlineStr">
        <is>
          <t>VENEZUELANOS</t>
        </is>
      </c>
      <c r="F78" t="inlineStr">
        <is>
          <t>RORAIMA</t>
        </is>
      </c>
      <c r="G78" t="inlineStr">
        <is>
          <t>G1 RR — BOA VISTA</t>
        </is>
      </c>
      <c r="H78" t="inlineStr">
        <is>
          <t>HOMEM QUE MORREU EM ACIDENTE NA BR-174 ERA DONO DE RESTAURANTE EM SHOPPING DE BOA VISTA</t>
        </is>
      </c>
      <c r="I78" t="inlineStr">
        <is>
          <t>HICHAN JIHAD NAIM ABOU NAMI, DE 37 ANOS, ERA DONO DE UM RESTAURANTE ESPECIALIZADO EM PRATOS À BASE DE CAMARÃO, LOCALIZADO EM UM SHOPPING DE BOA VISTA. ELE MORREU NO ÚLTIMO DOMINGO (24) EM UM ACIDENTE ENTRE VAN E UM TÁXI INTERMUNICIPAL.</t>
        </is>
      </c>
      <c r="J78">
        <f>HYPERLINK("https://g1.globo.com/rr/roraima/noticia/2022/07/25/corpo-de-homem-que-morreu-em-acidente-entre-van-e-taxi-em-pacaraima-e-identificado.ghtml", "URL")</f>
        <v/>
      </c>
      <c r="K78">
        <f>HYPERLINK("https://raw.githubusercontent.com/marcosmapl/dataset_imigrantes/main/noticias_filtered/g1/venezuelanos/2022/06_jul/html/g1_786756d0-2328-11ed-b24f-6dbe51e79fca_4080.html", "HTML")</f>
        <v/>
      </c>
      <c r="L78">
        <f>HYPERLINK("https://raw.githubusercontent.com/marcosmapl/dataset_imigrantes/main/noticias_filtered/g1/venezuelanos/2022/06_jul/txt/g1_786756d0-2328-11ed-b24f-6dbe51e79fca_4080.txt", "TXT")</f>
        <v/>
      </c>
    </row>
    <row r="79">
      <c r="A79" s="1" t="n">
        <v>77</v>
      </c>
      <c r="B79" t="n">
        <v>2022</v>
      </c>
      <c r="C79" s="2" t="n">
        <v>44767.65529040509</v>
      </c>
      <c r="D79" t="inlineStr">
        <is>
          <t>G1</t>
        </is>
      </c>
      <c r="E79" t="inlineStr">
        <is>
          <t>VENEZUELANOS</t>
        </is>
      </c>
      <c r="F79" t="inlineStr">
        <is>
          <t>RORAIMA</t>
        </is>
      </c>
      <c r="G79" t="inlineStr">
        <is>
          <t>G1 RR — BOA VISTA</t>
        </is>
      </c>
      <c r="H79" t="inlineStr">
        <is>
          <t>CANDIDATOS AO SENADO POR RORAIMA: VEJA A LISTA</t>
        </is>
      </c>
      <c r="I79" t="inlineStr">
        <is>
          <t>CANDIDATURAS FORAM OFICIALIZADAS NO TRIBUNAL SUPERIOR ELEITORAL (TSE). LISTA SERÁ ATUALIZADA À MEDIDA QUE FOREM DIVULGADOS OS ESCOLHIDOS.</t>
        </is>
      </c>
      <c r="J79">
        <f>HYPERLINK("https://g1.globo.com/rr/roraima/eleicoes/2022/noticia/2022/07/25/candidatos-ao-senado-por-roraima-veja-a-lista.ghtml", "URL")</f>
        <v/>
      </c>
      <c r="K79">
        <f>HYPERLINK("https://raw.githubusercontent.com/marcosmapl/dataset_imigrantes/main/noticias_filtered/g1/venezuelanos/2022/06_jul/html/g1_46b819d0-231e-11ed-b24f-6dbe51e79fca_3550.html", "HTML")</f>
        <v/>
      </c>
      <c r="L79">
        <f>HYPERLINK("https://raw.githubusercontent.com/marcosmapl/dataset_imigrantes/main/noticias_filtered/g1/venezuelanos/2022/06_jul/txt/g1_46b819d0-231e-11ed-b24f-6dbe51e79fca_3550.txt", "TXT")</f>
        <v/>
      </c>
    </row>
    <row r="80">
      <c r="A80" s="1" t="n">
        <v>78</v>
      </c>
      <c r="B80" t="n">
        <v>2022</v>
      </c>
      <c r="C80" s="2" t="n">
        <v>44767.56485947916</v>
      </c>
      <c r="D80" t="inlineStr">
        <is>
          <t>G1</t>
        </is>
      </c>
      <c r="E80" t="inlineStr">
        <is>
          <t>VENEZUELANOS</t>
        </is>
      </c>
      <c r="F80" t="inlineStr">
        <is>
          <t>RORAIMA</t>
        </is>
      </c>
      <c r="G80" t="inlineStr">
        <is>
          <t>G1 RR — BOA VISTA</t>
        </is>
      </c>
      <c r="H80" t="inlineStr">
        <is>
          <t>HOMEM MORRE E MULHER FICA EM ESTADO GRAVE EM ACIDENTE COM VAN E TÁXI EM PACARAIMA, NO NORTE DE RR</t>
        </is>
      </c>
      <c r="I80" t="inlineStr">
        <is>
          <t>ACIDENTE FOI POR VOLTA DAS 17H DESSE DOMINGO (25), CERCA DE 30KM APÓS A VILA TRÊS CORAÇOES, ENTRE AMAJARI E PACARAIMA.</t>
        </is>
      </c>
      <c r="J80">
        <f>HYPERLINK("https://g1.globo.com/rr/roraima/noticia/2022/07/25/homem-morre-e-mulher-fica-em-estado-grave-em-acidente-com-dois-veiculos-na-br-174-ao-norte-de-rr.ghtml", "URL")</f>
        <v/>
      </c>
      <c r="K80">
        <f>HYPERLINK("https://raw.githubusercontent.com/marcosmapl/dataset_imigrantes/main/noticias_filtered/g1/venezuelanos/2022/06_jul/html/g1_f6cff2cc-232b-11ed-b24f-6dbe51e79fca_4281.html", "HTML")</f>
        <v/>
      </c>
      <c r="L80">
        <f>HYPERLINK("https://raw.githubusercontent.com/marcosmapl/dataset_imigrantes/main/noticias_filtered/g1/venezuelanos/2022/06_jul/txt/g1_f6cff2cc-232b-11ed-b24f-6dbe51e79fca_4281.txt", "TXT")</f>
        <v/>
      </c>
    </row>
    <row r="81">
      <c r="A81" s="1" t="n">
        <v>79</v>
      </c>
      <c r="B81" t="n">
        <v>2022</v>
      </c>
      <c r="C81" s="2" t="n">
        <v>44766.63322162037</v>
      </c>
      <c r="D81" t="inlineStr">
        <is>
          <t>G1</t>
        </is>
      </c>
      <c r="E81" t="inlineStr">
        <is>
          <t>HAITIANOS</t>
        </is>
      </c>
      <c r="F81" t="inlineStr">
        <is>
          <t>MUNDO</t>
        </is>
      </c>
      <c r="G81" t="inlineStr">
        <is>
          <t>REUTERS</t>
        </is>
      </c>
      <c r="H81" t="inlineStr">
        <is>
          <t>IMIGRANTES MORREM APÓS NAUFRÁGIO NAS BAHAMAS</t>
        </is>
      </c>
      <c r="I81" t="inlineStr">
        <is>
          <t>QUATRO MULHERES E 17 HOMENS FORAM RESGATADOS; BAHAMAS SÃO UMA ROTA DE TRÂNSITO FREQUENTE PARA IMIGRANTES HAITIANOS QUE PROCURAM CHEGAR AOS ESTADOS UNIDOS.</t>
        </is>
      </c>
      <c r="J81">
        <f>HYPERLINK("https://g1.globo.com/mundo/noticia/2022/07/24/imigrantes-morrem-apos-naufragio-nas-bahamas.ghtml", "URL")</f>
        <v/>
      </c>
      <c r="K81">
        <f>HYPERLINK("https://raw.githubusercontent.com/marcosmapl/dataset_imigrantes/main/noticias_filtered/g1/haitianos/2022/06_jul/html/g1_62b70128-22f1-11ed-b24f-6dbe51e79fca_1748.html", "HTML")</f>
        <v/>
      </c>
      <c r="L81">
        <f>HYPERLINK("https://raw.githubusercontent.com/marcosmapl/dataset_imigrantes/main/noticias_filtered/g1/haitianos/2022/06_jul/txt/g1_62b70128-22f1-11ed-b24f-6dbe51e79fca_1748.txt", "TXT")</f>
        <v/>
      </c>
    </row>
    <row r="82">
      <c r="A82" s="1" t="n">
        <v>80</v>
      </c>
      <c r="B82" t="n">
        <v>2022</v>
      </c>
      <c r="C82" s="2" t="n">
        <v>44766.41701097223</v>
      </c>
      <c r="D82" t="inlineStr">
        <is>
          <t>G1</t>
        </is>
      </c>
      <c r="E82" t="inlineStr">
        <is>
          <t>VENEZUELANOS</t>
        </is>
      </c>
      <c r="F82" t="inlineStr">
        <is>
          <t>RIBEIRÃO E FRANCA</t>
        </is>
      </c>
      <c r="G82" t="inlineStr">
        <is>
          <t>EPTV2</t>
        </is>
      </c>
      <c r="H82" t="inlineStr">
        <is>
          <t>CHOQUE DE CULTURAS: ÍNDIOS VENEZUELANOS WARAO DESAFIAM POLÍTICAS PÚBLICAS DE ACOLHIMENTO EM RIBEIRÃO PRETO</t>
        </is>
      </c>
      <c r="I82" t="inlineStr">
        <is>
          <t>IMIGRANTES COMEÇARAM A CHEGAR À CIDADE EM 2021, MAS COSTUMES DIFERENTES E DIALETO DIFICULTAM INCLUSÃO, AFIRMAM ONG E PREFEITURA. ONU ESTIMA QUE CERCA DE SETE MIL TENHAM FUGIDO DA CRISE NA VENEZUELA.</t>
        </is>
      </c>
      <c r="J82">
        <f>HYPERLINK("https://g1.globo.com/sp/ribeirao-preto-franca/noticia/2022/07/24/choque-de-culturas-indios-venezuelanos-warao-desafiam-politicas-publicas-de-acolhimento-em-ribeirao-preto.ghtml", "URL")</f>
        <v/>
      </c>
      <c r="K82">
        <f>HYPERLINK("https://raw.githubusercontent.com/marcosmapl/dataset_imigrantes/main/noticias_filtered/g1/venezuelanos/2022/06_jul/html/g1_30d11fbc-230b-11ed-b24f-6dbe51e79fca_2550.html", "HTML")</f>
        <v/>
      </c>
      <c r="L82">
        <f>HYPERLINK("https://raw.githubusercontent.com/marcosmapl/dataset_imigrantes/main/noticias_filtered/g1/venezuelanos/2022/06_jul/txt/g1_30d11fbc-230b-11ed-b24f-6dbe51e79fca_2550.txt", "TXT")</f>
        <v/>
      </c>
    </row>
    <row r="83">
      <c r="A83" s="1" t="n">
        <v>81</v>
      </c>
      <c r="B83" t="n">
        <v>2022</v>
      </c>
      <c r="C83" s="2" t="n">
        <v>44765.55175712963</v>
      </c>
      <c r="D83" t="inlineStr">
        <is>
          <t>G1</t>
        </is>
      </c>
      <c r="E83" t="inlineStr">
        <is>
          <t>VENEZUELANOS</t>
        </is>
      </c>
      <c r="F83" t="inlineStr">
        <is>
          <t>TOCANTINS</t>
        </is>
      </c>
      <c r="G83" t="inlineStr">
        <is>
          <t>G1 TOCANTINS</t>
        </is>
      </c>
      <c r="H83" t="inlineStr">
        <is>
          <t>VENEZUELANO É PRESO APÓS PRF ENCONTRAR QUASE 30 KG DE MACONHA E COCAÍNA DENTRO DE ÔNIBUS</t>
        </is>
      </c>
      <c r="I83" t="inlineStr">
        <is>
          <t>SEGUNDO A POLÍCIA, HOMEM JÁ HAVIA SIDO PRESO POR COMETER O CRIME DE TRÁFICO DE DROGAS. VEÍCULO TINHA SAÍDO DE SÃO PAULO COM DESTINO A CAXIAS, NO MARANHÃO.</t>
        </is>
      </c>
      <c r="J83">
        <f>HYPERLINK("https://g1.globo.com/to/tocantins/noticia/2022/07/23/venezuelano-e-preso-apos-prf-encontrar-quase-30-kg-de-maconha-e-cocaina-dentro-de-onibus.ghtml", "URL")</f>
        <v/>
      </c>
      <c r="K83">
        <f>HYPERLINK("https://raw.githubusercontent.com/marcosmapl/dataset_imigrantes/main/noticias_filtered/g1/venezuelanos/2022/06_jul/html/g1_27833f44-2310-11ed-b24f-6dbe51e79fca_2842.html", "HTML")</f>
        <v/>
      </c>
      <c r="L83">
        <f>HYPERLINK("https://raw.githubusercontent.com/marcosmapl/dataset_imigrantes/main/noticias_filtered/g1/venezuelanos/2022/06_jul/txt/g1_27833f44-2310-11ed-b24f-6dbe51e79fca_2842.txt", "TXT")</f>
        <v/>
      </c>
    </row>
    <row r="84">
      <c r="A84" s="1" t="n">
        <v>82</v>
      </c>
      <c r="B84" t="n">
        <v>2022</v>
      </c>
      <c r="C84" s="2" t="n">
        <v>44764.78909230324</v>
      </c>
      <c r="D84" t="inlineStr">
        <is>
          <t>G1</t>
        </is>
      </c>
      <c r="E84" t="inlineStr">
        <is>
          <t>VENEZUELANOS</t>
        </is>
      </c>
      <c r="F84" t="inlineStr">
        <is>
          <t>SANTA CATARINA</t>
        </is>
      </c>
      <c r="G84" t="inlineStr">
        <is>
          <t>SOFIA MAYER, G1 SC</t>
        </is>
      </c>
      <c r="H84" t="inlineStr">
        <is>
          <t>MÃE DE BEBÊ MORTO APÓS SUSPEITA DE ESPANCAMENTO POR BABÁS VEIO A SC EM BUSCA DE VIDA MELHOR</t>
        </is>
      </c>
      <c r="I84" t="inlineStr">
        <is>
          <t>NATURAL DA VENEZUELA, MULHER TINHA QUE DEIXAR BEBÊ COM CUIDADORES PARA TRABALHAR, SEGUNDO A FAMÍLIA QUE MORA EM CAÇADOR.</t>
        </is>
      </c>
      <c r="J84">
        <f>HYPERLINK("https://g1.globo.com/sc/santa-catarina/noticia/2022/07/22/mae-de-bebe-morto-apos-suspeita-de-espancamento-por-babas-veio-a-sc-em-busca-de-vida-melhor.ghtml", "URL")</f>
        <v/>
      </c>
      <c r="K84">
        <f>HYPERLINK("https://raw.githubusercontent.com/marcosmapl/dataset_imigrantes/main/noticias_filtered/g1/venezuelanos/2022/06_jul/html/g1_45366126-232c-11ed-b24f-6dbe51e79fca_4295.html", "HTML")</f>
        <v/>
      </c>
      <c r="L84">
        <f>HYPERLINK("https://raw.githubusercontent.com/marcosmapl/dataset_imigrantes/main/noticias_filtered/g1/venezuelanos/2022/06_jul/txt/g1_45366126-232c-11ed-b24f-6dbe51e79fca_4295.txt", "TXT")</f>
        <v/>
      </c>
    </row>
    <row r="85">
      <c r="A85" s="1" t="n">
        <v>83</v>
      </c>
      <c r="B85" t="n">
        <v>2022</v>
      </c>
      <c r="C85" s="2" t="n">
        <v>44763.79511157407</v>
      </c>
      <c r="D85" t="inlineStr">
        <is>
          <t>G1</t>
        </is>
      </c>
      <c r="E85" t="inlineStr">
        <is>
          <t>VENEZUELANOS</t>
        </is>
      </c>
      <c r="F85" t="inlineStr">
        <is>
          <t>SANTA CATARINA</t>
        </is>
      </c>
      <c r="G85" t="inlineStr">
        <is>
          <t>SOFIA MAYER, G1 SC</t>
        </is>
      </c>
      <c r="H85" t="inlineStr">
        <is>
          <t>ÓRGÃOS DE BEBÊ QUE MORREU APÓS SUSPEITA DE ESPANCAMENTO SERÃO DOADOS, DIZ FAMÍLIA</t>
        </is>
      </c>
      <c r="I85" t="inlineStr">
        <is>
          <t>BEBÊ ESTAVA INTERNADO EM FLORIANÓPOLIS E TEVE A MORTE CONFIRMADA NESTA QUINTA-FEIRA. CASAL SUSPEITO DO CRIME ESTÁ PRESO PREVENTIVAMENTE APÓS DECISÃO DA JUSTIÇA.</t>
        </is>
      </c>
      <c r="J85">
        <f>HYPERLINK("https://g1.globo.com/sc/santa-catarina/noticia/2022/07/21/orgaos-de-bebe-que-morreu-apos-suspeita-de-espancamento-serao-doados-diz-familia.ghtml", "URL")</f>
        <v/>
      </c>
      <c r="K85">
        <f>HYPERLINK("https://raw.githubusercontent.com/marcosmapl/dataset_imigrantes/main/noticias_filtered/g1/venezuelanos/2022/06_jul/html/g1_b0f2faf4-231e-11ed-b24f-6dbe51e79fca_3578.html", "HTML")</f>
        <v/>
      </c>
      <c r="L85">
        <f>HYPERLINK("https://raw.githubusercontent.com/marcosmapl/dataset_imigrantes/main/noticias_filtered/g1/venezuelanos/2022/06_jul/txt/g1_b0f2faf4-231e-11ed-b24f-6dbe51e79fca_3578.txt", "TXT")</f>
        <v/>
      </c>
    </row>
    <row r="86">
      <c r="A86" s="1" t="n">
        <v>84</v>
      </c>
      <c r="B86" t="n">
        <v>2022</v>
      </c>
      <c r="C86" s="2" t="n">
        <v>44763.64294684028</v>
      </c>
      <c r="D86" t="inlineStr">
        <is>
          <t>G1</t>
        </is>
      </c>
      <c r="E86" t="inlineStr">
        <is>
          <t>VENEZUELANOS</t>
        </is>
      </c>
      <c r="F86" t="inlineStr">
        <is>
          <t>SANTA CATARINA</t>
        </is>
      </c>
      <c r="G86" t="inlineStr">
        <is>
          <t>SOFIA MAYER, G1 SC</t>
        </is>
      </c>
      <c r="H86" t="inlineStr">
        <is>
          <t>MORRE BEBÊ DE 3 MESES APÓS SUSPEITA DE ESPANCAMENTO POR BABÁS EM SC: 'TRISTEZA TÃO GRANDE'</t>
        </is>
      </c>
      <c r="I86" t="inlineStr">
        <is>
          <t>MENINO ESTAVA INTERNADA EM FLORIANÓPOLIS. CASAL SUSPEITO DO CRIME ESTÁ PRESO PREVENTIVAMENTE APÓS DECISÃO DA JUSTIÇA.</t>
        </is>
      </c>
      <c r="J86">
        <f>HYPERLINK("https://g1.globo.com/sc/santa-catarina/noticia/2022/07/21/morre-bebe-venezuelano-de-3-meses-apos-suspeita-de-espancamento-por-babas-em-sc.ghtml", "URL")</f>
        <v/>
      </c>
      <c r="K86">
        <f>HYPERLINK("https://raw.githubusercontent.com/marcosmapl/dataset_imigrantes/main/noticias_filtered/g1/venezuelanos/2022/06_jul/html/g1_f355bbc4-230b-11ed-b24f-6dbe51e79fca_2598.html", "HTML")</f>
        <v/>
      </c>
      <c r="L86">
        <f>HYPERLINK("https://raw.githubusercontent.com/marcosmapl/dataset_imigrantes/main/noticias_filtered/g1/venezuelanos/2022/06_jul/txt/g1_f355bbc4-230b-11ed-b24f-6dbe51e79fca_2598.txt", "TXT")</f>
        <v/>
      </c>
    </row>
    <row r="87">
      <c r="A87" s="1" t="n">
        <v>85</v>
      </c>
      <c r="B87" t="n">
        <v>2022</v>
      </c>
      <c r="C87" s="2" t="n">
        <v>44762.99020202546</v>
      </c>
      <c r="D87" t="inlineStr">
        <is>
          <t>G1</t>
        </is>
      </c>
      <c r="E87" t="inlineStr">
        <is>
          <t>HAITIANOS</t>
        </is>
      </c>
      <c r="F87" t="inlineStr">
        <is>
          <t>PARANÁ</t>
        </is>
      </c>
      <c r="G87" t="inlineStr">
        <is>
          <t>G1 PR — CURITIBA</t>
        </is>
      </c>
      <c r="H87" t="inlineStr">
        <is>
          <t>RESUMO DO DIA: PARANÁ, QUARTA-FEIRA, 20 DE JULHO DE 2022</t>
        </is>
      </c>
      <c r="I87" t="inlineStr">
        <is>
          <t>BOA NOITE! AQUI ESTÃO AS PRINCIPAIS NOTÍCIAS DO ESTADO PARA VOCÊ TERMINAR O DIA BEM-INFORMADO.</t>
        </is>
      </c>
      <c r="J87">
        <f>HYPERLINK("https://g1.globo.com/pr/parana/noticia/2022/07/20/resumo-do-dia-parana-quarta-feira-20-de-julho-de-2022.ghtml", "URL")</f>
        <v/>
      </c>
      <c r="K87">
        <f>HYPERLINK("https://raw.githubusercontent.com/marcosmapl/dataset_imigrantes/main/noticias_filtered/g1/haitianos/2022/06_jul/html/g1_fb2e0240-231d-11ed-b24f-6dbe51e79fca_3531.html", "HTML")</f>
        <v/>
      </c>
      <c r="L87">
        <f>HYPERLINK("https://raw.githubusercontent.com/marcosmapl/dataset_imigrantes/main/noticias_filtered/g1/haitianos/2022/06_jul/txt/g1_fb2e0240-231d-11ed-b24f-6dbe51e79fca_3531.txt", "TXT")</f>
        <v/>
      </c>
    </row>
    <row r="88">
      <c r="A88" s="1" t="n">
        <v>86</v>
      </c>
      <c r="B88" t="n">
        <v>2022</v>
      </c>
      <c r="C88" s="2" t="n">
        <v>44762.74384700231</v>
      </c>
      <c r="D88" t="inlineStr">
        <is>
          <t>G1</t>
        </is>
      </c>
      <c r="E88" t="inlineStr">
        <is>
          <t>HAITIANOS</t>
        </is>
      </c>
      <c r="F88" t="inlineStr">
        <is>
          <t>OESTE E SUDOESTE</t>
        </is>
      </c>
      <c r="G88" t="inlineStr">
        <is>
          <t>RPC CASCAVEL</t>
        </is>
      </c>
      <c r="H88" t="inlineStr">
        <is>
          <t>MENINA HAITIANA ATROPELADA COM A MÃE AO TENTAR ATRAVESSAR RUA DEIXA A UTI E VAI PARA ENFERMARIA APÓS UM MÊS NO HOSPITAL, EM CASCAVEL</t>
        </is>
      </c>
      <c r="I88" t="inlineStr">
        <is>
          <t>ATROPELAMENTO ACONTECEU EM JUNHO, E MOTORISTA INFORMOU QUE PERDEU O CONTROLE DO VEÍCULO; 'ESSE CASO ENCHE A GENTE DE ALEGRIA, E NOS MOTIVA', DISSE MÉDICO SOBRE A RECUPERAÇÃO DA CRIANÇA.</t>
        </is>
      </c>
      <c r="J88">
        <f>HYPERLINK("https://g1.globo.com/pr/oeste-sudoeste/noticia/2022/07/20/menina-haitiana-atropelada-com-a-mae-ao-tentar-atravessar-rua-deixa-a-uti-e-vai-para-enfermaria-apos-um-mes-no-hospital-em-cascavel.ghtml", "URL")</f>
        <v/>
      </c>
      <c r="K88">
        <f>HYPERLINK("https://raw.githubusercontent.com/marcosmapl/dataset_imigrantes/main/noticias_filtered/g1/haitianos/2022/06_jul/html/g1_ef33924e-2326-11ed-b24f-6dbe51e79fca_4007.html", "HTML")</f>
        <v/>
      </c>
      <c r="L88">
        <f>HYPERLINK("https://raw.githubusercontent.com/marcosmapl/dataset_imigrantes/main/noticias_filtered/g1/haitianos/2022/06_jul/txt/g1_ef33924e-2326-11ed-b24f-6dbe51e79fca_4007.txt", "TXT")</f>
        <v/>
      </c>
    </row>
    <row r="89">
      <c r="A89" s="1" t="n">
        <v>87</v>
      </c>
      <c r="B89" t="n">
        <v>2022</v>
      </c>
      <c r="C89" s="2" t="n">
        <v>44762.33379243055</v>
      </c>
      <c r="D89" t="inlineStr">
        <is>
          <t>G1</t>
        </is>
      </c>
      <c r="E89" t="inlineStr">
        <is>
          <t>VENEZUELANOS</t>
        </is>
      </c>
      <c r="F89" t="inlineStr">
        <is>
          <t>PODCASTS</t>
        </is>
      </c>
      <c r="G89" t="inlineStr">
        <is>
          <t>G1</t>
        </is>
      </c>
      <c r="H89" t="inlineStr">
        <is>
          <t>BOLSONARO ACENDE ALERTA PARA 'GOLPE AMBÍGUO' AO QUESTIONAR SISTEMA ELEITORAL, AVALIA OLIVER STUENKEL</t>
        </is>
      </c>
      <c r="I89" t="inlineStr">
        <is>
          <t>PARA PROFESSOR DE RELAÇÕES INTERNACIONAIS DA FGV, PREVISÃO DE RUPTURA DEMOCRÁTICA ENSAIADA POR BOLSONARO SERIA PARECIDA COM MODELO VENEZUELANO: 'UMA SITUAÇÃO UMA AMBÍGUA, CONTENCIOSA, PODE REDUZIR  A PRESSÃO PÚBLICA' E ATRASAR REAÇÃO DA COMUNIDADE INTERNACIONAL.</t>
        </is>
      </c>
      <c r="J89">
        <f>HYPERLINK("https://g1.globo.com/podcast/o-assunto/noticia/2022/07/20/bolsonaro-acende-alerta-para-golpe-ambiguo-ao-questionar-sistema-eleitoral-avalia-oliver-stuenkel.ghtml", "URL")</f>
        <v/>
      </c>
      <c r="K89">
        <f>HYPERLINK("https://raw.githubusercontent.com/marcosmapl/dataset_imigrantes/main/noticias_filtered/g1/venezuelanos/2022/06_jul/html/g1_aa65db94-232c-11ed-b24f-6dbe51e79fca_4321.html", "HTML")</f>
        <v/>
      </c>
      <c r="L89">
        <f>HYPERLINK("https://raw.githubusercontent.com/marcosmapl/dataset_imigrantes/main/noticias_filtered/g1/venezuelanos/2022/06_jul/txt/g1_aa65db94-232c-11ed-b24f-6dbe51e79fca_4321.txt", "TXT")</f>
        <v/>
      </c>
    </row>
    <row r="90">
      <c r="A90" s="1" t="n">
        <v>88</v>
      </c>
      <c r="B90" t="n">
        <v>2022</v>
      </c>
      <c r="C90" s="2" t="n">
        <v>44761.93947233797</v>
      </c>
      <c r="D90" t="inlineStr">
        <is>
          <t>G1</t>
        </is>
      </c>
      <c r="E90" t="inlineStr">
        <is>
          <t>VENEZUELANOS</t>
        </is>
      </c>
      <c r="F90" t="inlineStr">
        <is>
          <t>RORAIMA</t>
        </is>
      </c>
      <c r="G90" t="inlineStr">
        <is>
          <t>G1 RR — BOA VISTA</t>
        </is>
      </c>
      <c r="H90" t="inlineStr">
        <is>
          <t>CURTA-METRAGEM PRODUZIDO EM RORAIMA É SELECIONADO PARA FESTIVAL INTERNACIONAL DE CINEMA</t>
        </is>
      </c>
      <c r="I90" t="inlineStr">
        <is>
          <t>“RABIOLA”, DIRIGIDO PELO CINEASTA THIAGO BRIGLIA, FOI SELECIONADO PARA REPRESENTAR RORAIMA NO 33º FESTIVAL INTERNACIONAL DE CURTAS DE SÃO PAULO.</t>
        </is>
      </c>
      <c r="J90">
        <f>HYPERLINK("https://g1.globo.com/rr/roraima/noticia/2022/07/19/curta-metragem-produzido-em-roraima-e-selecionado-para-festival-internacional-de-cinema.ghtml", "URL")</f>
        <v/>
      </c>
      <c r="K90">
        <f>HYPERLINK("https://raw.githubusercontent.com/marcosmapl/dataset_imigrantes/main/noticias_filtered/g1/venezuelanos/2022/06_jul/html/g1_5548bbbe-2308-11ed-b24f-6dbe51e79fca_2379.html", "HTML")</f>
        <v/>
      </c>
      <c r="L90">
        <f>HYPERLINK("https://raw.githubusercontent.com/marcosmapl/dataset_imigrantes/main/noticias_filtered/g1/venezuelanos/2022/06_jul/txt/g1_5548bbbe-2308-11ed-b24f-6dbe51e79fca_2379.txt", "TXT")</f>
        <v/>
      </c>
    </row>
    <row r="91">
      <c r="A91" s="1" t="n">
        <v>89</v>
      </c>
      <c r="B91" t="n">
        <v>2022</v>
      </c>
      <c r="C91" s="2" t="n">
        <v>44761.57995819444</v>
      </c>
      <c r="D91" t="inlineStr">
        <is>
          <t>G1</t>
        </is>
      </c>
      <c r="E91" t="inlineStr">
        <is>
          <t>VENEZUELANOS</t>
        </is>
      </c>
      <c r="F91" t="inlineStr">
        <is>
          <t>SANTA CATARINA</t>
        </is>
      </c>
      <c r="G91" t="inlineStr">
        <is>
          <t>JOHN PACHECO, G1 SC</t>
        </is>
      </c>
      <c r="H91" t="inlineStr">
        <is>
          <t>CUIDADORES SÃO PRESOS APÓS BEBÊ DE 3 MESES SER INTERNADO COM LESÕES CEREBRAIS E NO CORPO, EM SC</t>
        </is>
      </c>
      <c r="I91" t="inlineStr">
        <is>
          <t>CASAL CUIDAVA DA CRIANÇA ENQUANTO A MÃE TRABALHAVA. BEBÊ DEU ENTRADA EM HOSPITAL DE CAÇADOR, NO OESTE CATARINENSE, E FOI ENCAMINHADA PARA UTI EM FLORIANÓPOLIS.</t>
        </is>
      </c>
      <c r="J91">
        <f>HYPERLINK("https://g1.globo.com/sc/santa-catarina/noticia/2022/07/19/cuidadores-sao-presos-apos-bebe-de-3-meses-ser-internado-com-lesoes-cerebrais-e-no-corpo-em-sc.ghtml", "URL")</f>
        <v/>
      </c>
      <c r="K91">
        <f>HYPERLINK("https://raw.githubusercontent.com/marcosmapl/dataset_imigrantes/main/noticias_filtered/g1/venezuelanos/2022/06_jul/html/g1_4a370b92-231f-11ed-b24f-6dbe51e79fca_3614.html", "HTML")</f>
        <v/>
      </c>
      <c r="L91">
        <f>HYPERLINK("https://raw.githubusercontent.com/marcosmapl/dataset_imigrantes/main/noticias_filtered/g1/venezuelanos/2022/06_jul/txt/g1_4a370b92-231f-11ed-b24f-6dbe51e79fca_3614.txt", "TXT")</f>
        <v/>
      </c>
    </row>
    <row r="92">
      <c r="A92" s="1" t="n">
        <v>90</v>
      </c>
      <c r="B92" t="n">
        <v>2022</v>
      </c>
      <c r="C92" s="2" t="n">
        <v>44761.55519101852</v>
      </c>
      <c r="D92" t="inlineStr">
        <is>
          <t>G1</t>
        </is>
      </c>
      <c r="E92" t="inlineStr">
        <is>
          <t>VENEZUELANOS</t>
        </is>
      </c>
      <c r="F92" t="inlineStr">
        <is>
          <t>PIAUÍ</t>
        </is>
      </c>
      <c r="G92" t="inlineStr">
        <is>
          <t>G1 PI</t>
        </is>
      </c>
      <c r="H92" t="inlineStr">
        <is>
          <t>MAIS DE 70 CRIANÇAS E ADOLESCENTES VENEZUELANOS SERÃO ALFABETIZADOS A PARTIR DE AGOSTO EM TERESINA</t>
        </is>
      </c>
      <c r="I92" t="inlineStr">
        <is>
          <t>SERÃO ATENDIDAS NAS ESCOLAS AS CRIANÇAS DE 6 A 11 ANOS E ADOLESCENTES DE 12 A 16 ANOS. EM RELAÇÃO ÀS CRIANÇAS DE 4 E 5 ANOS, ELAS SERÃO INSERIDAS NAS TURMAS REGULARES DOS CENTROS MUNICIPAIS DE EDUCAÇÃO INFANTIL (CMEIS).</t>
        </is>
      </c>
      <c r="J92">
        <f>HYPERLINK("https://g1.globo.com/pi/piaui/noticia/2022/07/19/mais-de-70-criancas-e-adolescentes-venezuelanos-serao-alfabetizados-a-partir-de-agosto-em-teresina.ghtml", "URL")</f>
        <v/>
      </c>
      <c r="K92">
        <f>HYPERLINK("https://raw.githubusercontent.com/marcosmapl/dataset_imigrantes/main/noticias_filtered/g1/venezuelanos/2022/06_jul/html/g1_47cbb074-2329-11ed-b24f-6dbe51e79fca_4106.html", "HTML")</f>
        <v/>
      </c>
      <c r="L92">
        <f>HYPERLINK("https://raw.githubusercontent.com/marcosmapl/dataset_imigrantes/main/noticias_filtered/g1/venezuelanos/2022/06_jul/txt/g1_47cbb074-2329-11ed-b24f-6dbe51e79fca_4106.txt", "TXT")</f>
        <v/>
      </c>
    </row>
    <row r="93">
      <c r="A93" s="1" t="n">
        <v>91</v>
      </c>
      <c r="B93" t="n">
        <v>2022</v>
      </c>
      <c r="C93" s="2" t="n">
        <v>44761.02284826389</v>
      </c>
      <c r="D93" t="inlineStr">
        <is>
          <t>G1</t>
        </is>
      </c>
      <c r="E93" t="inlineStr">
        <is>
          <t>VENEZUELANOS</t>
        </is>
      </c>
      <c r="F93" t="inlineStr">
        <is>
          <t>AMAZONAS</t>
        </is>
      </c>
      <c r="G93" t="inlineStr">
        <is>
          <t>G1 AM</t>
        </is>
      </c>
      <c r="H93" t="inlineStr">
        <is>
          <t>SOGRA É SUSPEITA DE PAGAR R$ 300 PARA MATAR VENEZUELANA POR NÃO ACEITAR RELACIONAMENTO DO FILHO, DIZ PC-AM</t>
        </is>
      </c>
      <c r="I93" t="inlineStr">
        <is>
          <t>SEGUNDO A POLÍCIA, A SUSPEITA NÃO APROVAVA O RELACIONAMENTO DO FILHO DE 17 ANOS COM A VÍTIMA.</t>
        </is>
      </c>
      <c r="J93">
        <f>HYPERLINK("https://g1.globo.com/am/amazonas/noticia/2022/07/18/sogra-e-suspeita-de-pagar-r-300-para-matar-venezuelana-por-nao-aceitar-relacionamento-do-filho-diz-pc-am.ghtml", "URL")</f>
        <v/>
      </c>
      <c r="K93">
        <f>HYPERLINK("https://raw.githubusercontent.com/marcosmapl/dataset_imigrantes/main/noticias_filtered/g1/venezuelanos/2022/06_jul/html/g1_df487232-2308-11ed-b24f-6dbe51e79fca_2409.html", "HTML")</f>
        <v/>
      </c>
      <c r="L93">
        <f>HYPERLINK("https://raw.githubusercontent.com/marcosmapl/dataset_imigrantes/main/noticias_filtered/g1/venezuelanos/2022/06_jul/txt/g1_df487232-2308-11ed-b24f-6dbe51e79fca_2409.txt", "TXT")</f>
        <v/>
      </c>
    </row>
    <row r="94">
      <c r="A94" s="1" t="n">
        <v>92</v>
      </c>
      <c r="B94" t="n">
        <v>2022</v>
      </c>
      <c r="C94" s="2" t="n">
        <v>44760.69924768519</v>
      </c>
      <c r="D94" t="inlineStr">
        <is>
          <t>A CRITICA</t>
        </is>
      </c>
      <c r="E94" t="inlineStr">
        <is>
          <t>VENEZUELANOS</t>
        </is>
      </c>
      <c r="F94" t="inlineStr">
        <is>
          <t>POLICIA</t>
        </is>
      </c>
      <c r="G94" t="inlineStr">
        <is>
          <t>NATSHA PINTO</t>
        </is>
      </c>
      <c r="H94" t="inlineStr">
        <is>
          <t>POLÍCIA PRENDE SUSPEITA DE MANDAR MATAR VENEZUELANA NA ZONA LESTE DE MANAUS</t>
        </is>
      </c>
      <c r="I94" t="inlineStr">
        <is>
          <t>VENEZUELANA TEREZA DE JESUS HERNANDEZ BEOMON, 37, FOI PRESA TEMPORARIAMENTE NA MANHÃ DESTA SEGUNDA-FEIRA (18), PELO HOMICÍDIO DA VENEZUELANA YEIMY YENILETH VARGAS RODRÍGUEZ, 27</t>
        </is>
      </c>
      <c r="J94">
        <f>HYPERLINK("https://www.acritica.com/policia/policia-prende-suspeita-de-mandar-matar-venezuelana-na-zona-leste-de-manaus-1.276260", "URL")</f>
        <v/>
      </c>
      <c r="K94">
        <f>HYPERLINK("https://raw.githubusercontent.com/marcosmapl/dataset_imigrantes/main/noticias_filtered/a_critica/venezuelanos/2022/06_jul/html/1.276260_344.html", "HTML")</f>
        <v/>
      </c>
      <c r="L94">
        <f>HYPERLINK("https://raw.githubusercontent.com/marcosmapl/dataset_imigrantes/main/noticias_filtered/a_critica/venezuelanos/2022/06_jul/txt/1.276260_344.txt", "TXT")</f>
        <v/>
      </c>
    </row>
    <row r="95">
      <c r="A95" s="1" t="n">
        <v>93</v>
      </c>
      <c r="B95" t="n">
        <v>2022</v>
      </c>
      <c r="C95" s="2" t="n">
        <v>44759.78956164352</v>
      </c>
      <c r="D95" t="inlineStr">
        <is>
          <t>G1</t>
        </is>
      </c>
      <c r="E95" t="inlineStr">
        <is>
          <t>VENEZUELANOS</t>
        </is>
      </c>
      <c r="F95" t="inlineStr">
        <is>
          <t>MUNDO</t>
        </is>
      </c>
      <c r="G95" t="inlineStr">
        <is>
          <t>G1</t>
        </is>
      </c>
      <c r="H95" t="inlineStr">
        <is>
          <t>TRÊS IMIGRANTES VENEZUELANOS SÃO ENCONTRADOS MORTOS EM CONTAINER NO CHILE</t>
        </is>
      </c>
      <c r="I95" t="inlineStr">
        <is>
          <t>AS VÍTIMAS ESTAVAM EM SITUAÇÃO DE RUA E, SEGUNDO A POLÍCIA LOCAL, FORAM ASFIXIADOS PELA FUMAÇA DE UMA FOGUEIRA QUE ACENDERAM PARA SE PROTEGER DO FRIO.</t>
        </is>
      </c>
      <c r="J95">
        <f>HYPERLINK("https://g1.globo.com/mundo/noticia/2022/07/17/tres-imigrantes-venezuelanos-sao-encontrados-mortos-em-container-no-chile.ghtml", "URL")</f>
        <v/>
      </c>
      <c r="K95">
        <f>HYPERLINK("https://raw.githubusercontent.com/marcosmapl/dataset_imigrantes/main/noticias_filtered/g1/venezuelanos/2022/06_jul/html/g1_221531a6-2307-11ed-b24f-6dbe51e79fca_2299.html", "HTML")</f>
        <v/>
      </c>
      <c r="L95">
        <f>HYPERLINK("https://raw.githubusercontent.com/marcosmapl/dataset_imigrantes/main/noticias_filtered/g1/venezuelanos/2022/06_jul/txt/g1_221531a6-2307-11ed-b24f-6dbe51e79fca_2299.txt", "TXT")</f>
        <v/>
      </c>
    </row>
    <row r="96">
      <c r="A96" s="1" t="n">
        <v>94</v>
      </c>
      <c r="B96" t="n">
        <v>2022</v>
      </c>
      <c r="C96" s="2" t="n">
        <v>44758.62519675926</v>
      </c>
      <c r="D96" t="inlineStr">
        <is>
          <t>A CRITICA</t>
        </is>
      </c>
      <c r="E96" t="inlineStr">
        <is>
          <t>VENEZUELANOS</t>
        </is>
      </c>
      <c r="F96" t="inlineStr">
        <is>
          <t>POLICIA</t>
        </is>
      </c>
      <c r="G96" t="inlineStr"/>
      <c r="H96" t="inlineStr">
        <is>
          <t>DUAS PESSOAS FICAM FERIDAS EM ATENTADO NO CENTRO</t>
        </is>
      </c>
      <c r="I96" t="inlineStr">
        <is>
          <t>ANTES DO TIROTEIO, SUSPEITOS JOGARAM UM EXPLOSIVO NO LOCAL DA AÇÃO</t>
        </is>
      </c>
      <c r="J96">
        <f>HYPERLINK("https://www.acritica.com/policia/duas-pessoas-ficam-feridas-em-atentado-no-centro-1.276080", "URL")</f>
        <v/>
      </c>
      <c r="K96">
        <f>HYPERLINK("https://raw.githubusercontent.com/marcosmapl/dataset_imigrantes/main/noticias_filtered/a_critica/venezuelanos/2022/06_jul/html/1.276080_17.html", "HTML")</f>
        <v/>
      </c>
      <c r="L96">
        <f>HYPERLINK("https://raw.githubusercontent.com/marcosmapl/dataset_imigrantes/main/noticias_filtered/a_critica/venezuelanos/2022/06_jul/txt/1.276080_17.txt", "TXT")</f>
        <v/>
      </c>
    </row>
    <row r="97">
      <c r="A97" s="1" t="n">
        <v>95</v>
      </c>
      <c r="B97" t="n">
        <v>2022</v>
      </c>
      <c r="C97" s="2" t="n">
        <v>44757.57145815972</v>
      </c>
      <c r="D97" t="inlineStr">
        <is>
          <t>G1</t>
        </is>
      </c>
      <c r="E97" t="inlineStr">
        <is>
          <t>VENEZUELANOS</t>
        </is>
      </c>
      <c r="F97" t="inlineStr">
        <is>
          <t>RORAIMA</t>
        </is>
      </c>
      <c r="G97" t="inlineStr">
        <is>
          <t>G1 RR — BOA VISTA</t>
        </is>
      </c>
      <c r="H97" t="inlineStr">
        <is>
          <t>CORPOS ENCONTRADOS DECAPITADOS E ENROLADOS EM LENÇOL ERAM DE JOVENS MIGRANTES, EM BOA VISTA</t>
        </is>
      </c>
      <c r="I97" t="inlineStr">
        <is>
          <t>VÍTIMAS SÃO OS VENEZUELANOS MOISES ALEJANDRO ALCALÁ TOCHON, DE 18 ANOS, E VICTOR MANUEL VALBUENA, DE 19 ANOS. CORPOS FORAM LOCALIZADOS NA TERÇA-FEIRA (12), NO BAIRRO SÃO VICENTE.</t>
        </is>
      </c>
      <c r="J97">
        <f>HYPERLINK("https://g1.globo.com/rr/roraima/noticia/2022/07/15/corpos-encontrados-decapitados-e-enrolados-em-lencol-eram-de-jovens-migrantes-em-boa-vista.ghtml", "URL")</f>
        <v/>
      </c>
      <c r="K97">
        <f>HYPERLINK("https://raw.githubusercontent.com/marcosmapl/dataset_imigrantes/main/noticias_filtered/g1/venezuelanos/2022/06_jul/html/g1_106f1e0e-2310-11ed-b24f-6dbe51e79fca_2837.html", "HTML")</f>
        <v/>
      </c>
      <c r="L97">
        <f>HYPERLINK("https://raw.githubusercontent.com/marcosmapl/dataset_imigrantes/main/noticias_filtered/g1/venezuelanos/2022/06_jul/txt/g1_106f1e0e-2310-11ed-b24f-6dbe51e79fca_2837.txt", "TXT")</f>
        <v/>
      </c>
    </row>
    <row r="98">
      <c r="A98" s="1" t="n">
        <v>96</v>
      </c>
      <c r="B98" t="n">
        <v>2022</v>
      </c>
      <c r="C98" s="2" t="n">
        <v>44757.03409586805</v>
      </c>
      <c r="D98" t="inlineStr">
        <is>
          <t>G1</t>
        </is>
      </c>
      <c r="E98" t="inlineStr">
        <is>
          <t>AMBOS</t>
        </is>
      </c>
      <c r="F98" t="inlineStr">
        <is>
          <t>PARANÁ</t>
        </is>
      </c>
      <c r="G98" t="inlineStr">
        <is>
          <t>G1 PR E RPC CURITIBA — CURITIBA</t>
        </is>
      </c>
      <c r="H98" t="inlineStr">
        <is>
          <t>QUASE DOIS MILHÕES DE PARANAENSES PASSAM O MÊS COM MENOS DE R$ 500, REVELA MAPA DA POBREZA</t>
        </is>
      </c>
      <c r="I98" t="inlineStr">
        <is>
          <t>NÚMERO REPRESENTA 17,6% DA POPULAÇÃO DO ESTADO. REGIÕES COM MAIS PESSOAS NA MARGEM DA POBREZA SÃO NORTE CENTRAL E NORTE PIONEIRO, SEGUNDO PESQUISA.</t>
        </is>
      </c>
      <c r="J98">
        <f>HYPERLINK("https://g1.globo.com/pr/parana/noticia/2022/07/14/quase-dois-milhoes-de-paranaenses-passam-o-mes-com-menos-de-r-500-revela-mapa-da-pobreza.ghtml", "URL")</f>
        <v/>
      </c>
      <c r="K98">
        <f>HYPERLINK("https://raw.githubusercontent.com/marcosmapl/dataset_imigrantes/main/noticias_filtered/g1/ambos/2022/06_jul/html/g1_6752307a-22f8-11ed-b24f-6dbe51e79fca_2131.html", "HTML")</f>
        <v/>
      </c>
      <c r="L98">
        <f>HYPERLINK("https://raw.githubusercontent.com/marcosmapl/dataset_imigrantes/main/noticias_filtered/g1/ambos/2022/06_jul/txt/g1_6752307a-22f8-11ed-b24f-6dbe51e79fca_2131.txt", "TXT")</f>
        <v/>
      </c>
    </row>
    <row r="99">
      <c r="A99" s="1" t="n">
        <v>97</v>
      </c>
      <c r="B99" t="n">
        <v>2022</v>
      </c>
      <c r="C99" s="2" t="n">
        <v>44757.01448339121</v>
      </c>
      <c r="D99" t="inlineStr">
        <is>
          <t>G1</t>
        </is>
      </c>
      <c r="E99" t="inlineStr">
        <is>
          <t>VENEZUELANOS</t>
        </is>
      </c>
      <c r="F99" t="inlineStr">
        <is>
          <t>MUNDO</t>
        </is>
      </c>
      <c r="G99" t="inlineStr">
        <is>
          <t>G1</t>
        </is>
      </c>
      <c r="H99" t="inlineStr">
        <is>
          <t>JOHN BOLTON, EX-ASSESSOR DE TRUMP, ADMITE TER PLANEJADO GOLPE CONTRA VENEZUELA, E DIRIGENTE CHAVISTA RESPONDE: 'LOUCO'</t>
        </is>
      </c>
      <c r="I99" t="inlineStr">
        <is>
          <t>EM 2019, OS EUA RECONHECERAM JUAN GUAIDÓ COMO PRESIDENTE DA VENEZUELA. HOUVE UMA TENTATIVA DE DERRUBAR NICOLÁS MADURO COM APOIO DOS MILITARES QUE FRACASSOU.</t>
        </is>
      </c>
      <c r="J99">
        <f>HYPERLINK("https://g1.globo.com/mundo/noticia/2022/07/14/john-bolton-ex-assessor-de-trump-admite-ter-planejado-golpe-contra-venezuela-e-dirigente-chavista-responde-louco.ghtml", "URL")</f>
        <v/>
      </c>
      <c r="K99">
        <f>HYPERLINK("https://raw.githubusercontent.com/marcosmapl/dataset_imigrantes/main/noticias_filtered/g1/venezuelanos/2022/06_jul/html/g1_178dd396-2316-11ed-b24f-6dbe51e79fca_3126.html", "HTML")</f>
        <v/>
      </c>
      <c r="L99">
        <f>HYPERLINK("https://raw.githubusercontent.com/marcosmapl/dataset_imigrantes/main/noticias_filtered/g1/venezuelanos/2022/06_jul/txt/g1_178dd396-2316-11ed-b24f-6dbe51e79fca_3126.txt", "TXT")</f>
        <v/>
      </c>
    </row>
    <row r="100">
      <c r="A100" s="1" t="n">
        <v>98</v>
      </c>
      <c r="B100" t="n">
        <v>2022</v>
      </c>
      <c r="C100" s="2" t="n">
        <v>44756.06789431713</v>
      </c>
      <c r="D100" t="inlineStr">
        <is>
          <t>G1</t>
        </is>
      </c>
      <c r="E100" t="inlineStr">
        <is>
          <t>VENEZUELANOS</t>
        </is>
      </c>
      <c r="F100" t="inlineStr">
        <is>
          <t>AMAZONAS</t>
        </is>
      </c>
      <c r="G100" t="inlineStr">
        <is>
          <t>G1 AM</t>
        </is>
      </c>
      <c r="H100" t="inlineStr">
        <is>
          <t>SUSPEITO DE MATAR VENEZUELANA EM MANAUS DIZ QUE ESTAVA 'SOB EFEITO DE DROGAS', APONTA PC-AM</t>
        </is>
      </c>
      <c r="I100" t="inlineStr">
        <is>
          <t>ELE CHEGOU A MANAUS NESTA QUARTA-FEIRA (13) PARA SER INTERROGADO.</t>
        </is>
      </c>
      <c r="J100">
        <f>HYPERLINK("https://g1.globo.com/am/amazonas/noticia/2022/07/13/suspeito-de-matar-venezuelana-em-manaus-diz-que-estava-sob-efeito-de-drogas-aponta-pc-am.ghtml", "URL")</f>
        <v/>
      </c>
      <c r="K100">
        <f>HYPERLINK("https://raw.githubusercontent.com/marcosmapl/dataset_imigrantes/main/noticias_filtered/g1/venezuelanos/2022/06_jul/html/g1_63ef437c-232b-11ed-b24f-6dbe51e79fca_4242.html", "HTML")</f>
        <v/>
      </c>
      <c r="L100">
        <f>HYPERLINK("https://raw.githubusercontent.com/marcosmapl/dataset_imigrantes/main/noticias_filtered/g1/venezuelanos/2022/06_jul/txt/g1_63ef437c-232b-11ed-b24f-6dbe51e79fca_4242.txt", "TXT")</f>
        <v/>
      </c>
    </row>
    <row r="101">
      <c r="A101" s="1" t="n">
        <v>99</v>
      </c>
      <c r="B101" t="n">
        <v>2022</v>
      </c>
      <c r="C101" s="2" t="n">
        <v>44755.83473825231</v>
      </c>
      <c r="D101" t="inlineStr">
        <is>
          <t>G1</t>
        </is>
      </c>
      <c r="E101" t="inlineStr">
        <is>
          <t>VENEZUELANOS</t>
        </is>
      </c>
      <c r="F101" t="inlineStr">
        <is>
          <t>RORAIMA</t>
        </is>
      </c>
      <c r="G101" t="inlineStr">
        <is>
          <t>G1 RR — BOA VISTA</t>
        </is>
      </c>
      <c r="H101" t="inlineStr">
        <is>
          <t>MÃE DE PILOTO PARAENSE DESAPARECIDO EM ÁREA DE FLORESTA NA FRONTEIRA COM A VENEZUELA PEDE AJUDA A AUTORIDADES BRASILEIRAS</t>
        </is>
      </c>
      <c r="I101" t="inlineStr">
        <is>
          <t>ROBERT BENTO DOS SANTOS MENEGACE, DE 26 ANOS, DESAPARECEU NO DIA 24 DE JUNHO QUANDO VOLTAVA DE UM VOO PARA DEIXAR MANTIMENTOS EM UM GARIMPO NA VENEZUELA. MÃE REGISTROU SUMIÇO NA POLÍCIA CIVIL, FAB E ITAMARATY.</t>
        </is>
      </c>
      <c r="J101">
        <f>HYPERLINK("https://g1.globo.com/rr/roraima/noticia/2022/07/13/mae-de-piloto-paraense-desaparecido-em-area-de-floresta-na-fronteira-com-venezuela-pede-ajuda-a-autoridades-brasileiras.ghtml", "URL")</f>
        <v/>
      </c>
      <c r="K101">
        <f>HYPERLINK("https://raw.githubusercontent.com/marcosmapl/dataset_imigrantes/main/noticias_filtered/g1/venezuelanos/2022/06_jul/html/g1_d444dd54-2307-11ed-b24f-6dbe51e79fca_2345.html", "HTML")</f>
        <v/>
      </c>
      <c r="L101">
        <f>HYPERLINK("https://raw.githubusercontent.com/marcosmapl/dataset_imigrantes/main/noticias_filtered/g1/venezuelanos/2022/06_jul/txt/g1_d444dd54-2307-11ed-b24f-6dbe51e79fca_2345.txt", "TXT")</f>
        <v/>
      </c>
    </row>
    <row r="102">
      <c r="A102" s="1" t="n">
        <v>100</v>
      </c>
      <c r="B102" t="n">
        <v>2022</v>
      </c>
      <c r="C102" s="2" t="n">
        <v>44754.94412744213</v>
      </c>
      <c r="D102" t="inlineStr">
        <is>
          <t>G1</t>
        </is>
      </c>
      <c r="E102" t="inlineStr">
        <is>
          <t>VENEZUELANOS</t>
        </is>
      </c>
      <c r="F102" t="inlineStr">
        <is>
          <t>AMAZONAS</t>
        </is>
      </c>
      <c r="G102" t="inlineStr">
        <is>
          <t>G1 AM</t>
        </is>
      </c>
      <c r="H102" t="inlineStr">
        <is>
          <t>PRESO EM BOA VISTA, SUSPEITO DE MATAR VENEZUELANA SERÁ INTERROGADO EM MANAUS NESTA QUARTA (13)</t>
        </is>
      </c>
      <c r="I102" t="inlineStr">
        <is>
          <t>SEGUNDO A PC-AM, O SUSPEITO DEVE SER LEVADO À SEDE DA DEHS, ONDE PASSARÁ POR INTERROGATÓRIO PARA ESCLARECER AS MOTIVAÇÕES DO CRIME.</t>
        </is>
      </c>
      <c r="J102">
        <f>HYPERLINK("https://g1.globo.com/am/amazonas/noticia/2022/07/12/preso-em-boa-vista-suspeito-de-matar-venezuelana-sera-interrogado-em-manaus-nesta-quarta-13.ghtml", "URL")</f>
        <v/>
      </c>
      <c r="K102">
        <f>HYPERLINK("https://raw.githubusercontent.com/marcosmapl/dataset_imigrantes/main/noticias_filtered/g1/venezuelanos/2022/06_jul/html/g1_5e916e3e-231f-11ed-b24f-6dbe51e79fca_3617.html", "HTML")</f>
        <v/>
      </c>
      <c r="L102">
        <f>HYPERLINK("https://raw.githubusercontent.com/marcosmapl/dataset_imigrantes/main/noticias_filtered/g1/venezuelanos/2022/06_jul/txt/g1_5e916e3e-231f-11ed-b24f-6dbe51e79fca_3617.txt", "TXT")</f>
        <v/>
      </c>
    </row>
    <row r="103">
      <c r="A103" s="1" t="n">
        <v>101</v>
      </c>
      <c r="B103" t="n">
        <v>2022</v>
      </c>
      <c r="C103" s="2" t="n">
        <v>44754.83311480324</v>
      </c>
      <c r="D103" t="inlineStr">
        <is>
          <t>G1</t>
        </is>
      </c>
      <c r="E103" t="inlineStr">
        <is>
          <t>VENEZUELANOS</t>
        </is>
      </c>
      <c r="F103" t="inlineStr">
        <is>
          <t>RORAIMA</t>
        </is>
      </c>
      <c r="G103" t="inlineStr">
        <is>
          <t>G1 RR — BOA VISTA</t>
        </is>
      </c>
      <c r="H103" t="inlineStr">
        <is>
          <t>SUSPEITO DE MATAR VENEZUELANA A FACADAS EM MANAUS É PRESO EM BOA VISTA</t>
        </is>
      </c>
      <c r="I103" t="inlineStr">
        <is>
          <t>ANDREAS  MUÑOZ, DE 31 ANOS, FOI PRESO NUMA AÇÃO CONJUNTA DE AGENTES DA DIVISÃO DE INTELIGÊNCIA E CAPTURA (DICAP) E DA DELEGACIA ESPECIALIZADA EM HOMICÍDIOS E SEQUESTROS (DEHS) DO AMAZONAS.</t>
        </is>
      </c>
      <c r="J103">
        <f>HYPERLINK("https://g1.globo.com/rr/roraima/noticia/2022/07/12/suspeito-de-matar-venezuelana-a-facadas-em-manaus-e-preso-em-boa-vista.ghtml", "URL")</f>
        <v/>
      </c>
      <c r="K103">
        <f>HYPERLINK("https://raw.githubusercontent.com/marcosmapl/dataset_imigrantes/main/noticias_filtered/g1/venezuelanos/2022/06_jul/html/g1_13a042d2-2316-11ed-b24f-6dbe51e79fca_3125.html", "HTML")</f>
        <v/>
      </c>
      <c r="L103">
        <f>HYPERLINK("https://raw.githubusercontent.com/marcosmapl/dataset_imigrantes/main/noticias_filtered/g1/venezuelanos/2022/06_jul/txt/g1_13a042d2-2316-11ed-b24f-6dbe51e79fca_3125.txt", "TXT")</f>
        <v/>
      </c>
    </row>
    <row r="104">
      <c r="A104" s="1" t="n">
        <v>102</v>
      </c>
      <c r="B104" t="n">
        <v>2022</v>
      </c>
      <c r="C104" s="2" t="n">
        <v>44754.60899305555</v>
      </c>
      <c r="D104" t="inlineStr">
        <is>
          <t>A CRITICA</t>
        </is>
      </c>
      <c r="E104" t="inlineStr">
        <is>
          <t>VENEZUELANOS</t>
        </is>
      </c>
      <c r="F104" t="inlineStr">
        <is>
          <t>POLICIA</t>
        </is>
      </c>
      <c r="G104" t="inlineStr">
        <is>
          <t>NATASHA PINTO</t>
        </is>
      </c>
      <c r="H104" t="inlineStr">
        <is>
          <t>PRINCIPAL SUSPEITO DE ESFAQUEAR VENEZUELANA ATÉ A MORTE É PRESO EM RORAIMA</t>
        </is>
      </c>
      <c r="I104" t="inlineStr">
        <is>
          <t>O TAMBÉM VENEZUELANO ANDRES MUÑOS FOI PRESO EM UMA PRAÇA DE BOA VISTA. YEIME YANILETH RODRIGUES, DE 27 ANOS, FOI ASSASSINADA DENTRO DA PRÓPRIA CASA NO MAUAZINHO</t>
        </is>
      </c>
      <c r="J104">
        <f>HYPERLINK("https://www.acritica.com/policia/principal-suspeito-de-esfaquear-venezuelana-ate-a-morte-e-preso-em-roraima-1.275732", "URL")</f>
        <v/>
      </c>
      <c r="K104">
        <f>HYPERLINK("https://raw.githubusercontent.com/marcosmapl/dataset_imigrantes/main/noticias_filtered/a_critica/venezuelanos/2022/06_jul/html/1.275732_131.html", "HTML")</f>
        <v/>
      </c>
      <c r="L104">
        <f>HYPERLINK("https://raw.githubusercontent.com/marcosmapl/dataset_imigrantes/main/noticias_filtered/a_critica/venezuelanos/2022/06_jul/txt/1.275732_131.txt", "TXT")</f>
        <v/>
      </c>
    </row>
    <row r="105">
      <c r="A105" s="1" t="n">
        <v>103</v>
      </c>
      <c r="B105" t="n">
        <v>2022</v>
      </c>
      <c r="C105" s="2" t="n">
        <v>44753.99720657407</v>
      </c>
      <c r="D105" t="inlineStr">
        <is>
          <t>G1</t>
        </is>
      </c>
      <c r="E105" t="inlineStr">
        <is>
          <t>VENEZUELANOS</t>
        </is>
      </c>
      <c r="F105" t="inlineStr">
        <is>
          <t>MUNDO</t>
        </is>
      </c>
      <c r="G105" t="inlineStr">
        <is>
          <t>REUTERS</t>
        </is>
      </c>
      <c r="H105" t="inlineStr">
        <is>
          <t>EUA DEVEM RENOVAR, MAS NÃO EXPANDIR, PROTEÇÃO HUMANITÁRIA PARA VENEZUELANOS NO PAÍS</t>
        </is>
      </c>
      <c r="I105" t="inlineStr">
        <is>
          <t>O GOVERNO BIDEN IRÁ OFERECER UMA EXTENSÃO DE 18 MESES DO PROGRAMA PARA VENEZUELANOS QUE ESTAVAM NOS EUA ATÉ 8 DE MARÇO DE 2021, MAS NÃO PERMITIRÁ QUE AQUELES QUE CHEGARAM MAIS RECENTEMENTE SE INSCREVAM.</t>
        </is>
      </c>
      <c r="J105">
        <f>HYPERLINK("https://g1.globo.com/mundo/noticia/2022/07/11/eua-devem-renovar-mas-nao-expandir-protecao-humanitaria-para-venezuelanos-no-pais.ghtml", "URL")</f>
        <v/>
      </c>
      <c r="K105">
        <f>HYPERLINK("https://raw.githubusercontent.com/marcosmapl/dataset_imigrantes/main/noticias_filtered/g1/venezuelanos/2022/06_jul/html/g1_9ebc70c6-2310-11ed-b24f-6dbe51e79fca_2866.html", "HTML")</f>
        <v/>
      </c>
      <c r="L105">
        <f>HYPERLINK("https://raw.githubusercontent.com/marcosmapl/dataset_imigrantes/main/noticias_filtered/g1/venezuelanos/2022/06_jul/txt/g1_9ebc70c6-2310-11ed-b24f-6dbe51e79fca_2866.txt", "TXT")</f>
        <v/>
      </c>
    </row>
    <row r="106">
      <c r="A106" s="1" t="n">
        <v>104</v>
      </c>
      <c r="B106" t="n">
        <v>2022</v>
      </c>
      <c r="C106" s="2" t="n">
        <v>44752.72596064815</v>
      </c>
      <c r="D106" t="inlineStr">
        <is>
          <t>A CRITICA</t>
        </is>
      </c>
      <c r="E106" t="inlineStr">
        <is>
          <t>VENEZUELANOS</t>
        </is>
      </c>
      <c r="F106" t="inlineStr">
        <is>
          <t>ESPORTES</t>
        </is>
      </c>
      <c r="G106" t="inlineStr">
        <is>
          <t>AGÊNCIA BRASIL</t>
        </is>
      </c>
      <c r="H106" t="inlineStr">
        <is>
          <t>IPPON RELÂMPAGO DÁ BRONZE A MAYRA AGUIAR NO GRAND SLAM DE BUDAPESTE</t>
        </is>
      </c>
      <c r="I106" t="inlineStr">
        <is>
          <t>BRASIL ENCERRA 1º TORNEIO QUE VALEU PONTOS PARA 2024 COM TRÊS PÓDIOS</t>
        </is>
      </c>
      <c r="J106">
        <f>HYPERLINK("https://www.acritica.com/esportes/ippon-relampago-da-bronze-a-mayra-aguiar-no-grand-slam-de-budapeste-1.275590", "URL")</f>
        <v/>
      </c>
      <c r="K106">
        <f>HYPERLINK("https://raw.githubusercontent.com/marcosmapl/dataset_imigrantes/main/noticias_filtered/a_critica/venezuelanos/2022/06_jul/html/1.275590_704.html", "HTML")</f>
        <v/>
      </c>
      <c r="L106">
        <f>HYPERLINK("https://raw.githubusercontent.com/marcosmapl/dataset_imigrantes/main/noticias_filtered/a_critica/venezuelanos/2022/06_jul/txt/1.275590_704.txt", "TXT")</f>
        <v/>
      </c>
    </row>
    <row r="107">
      <c r="A107" s="1" t="n">
        <v>105</v>
      </c>
      <c r="B107" t="n">
        <v>2022</v>
      </c>
      <c r="C107" s="2" t="n">
        <v>44752.67380787037</v>
      </c>
      <c r="D107" t="inlineStr">
        <is>
          <t>A CRITICA</t>
        </is>
      </c>
      <c r="E107" t="inlineStr">
        <is>
          <t>VENEZUELANOS</t>
        </is>
      </c>
      <c r="F107" t="inlineStr">
        <is>
          <t>ESPORTES</t>
        </is>
      </c>
      <c r="G107" t="inlineStr">
        <is>
          <t>AGÊNCIA BRASIL</t>
        </is>
      </c>
      <c r="H107" t="inlineStr">
        <is>
          <t>ADRIANA BRILHA COM A CAMISA DA SELEÇÃO BRASILEIRA NA COPA AMÉRICA, NA COLÔMBIA</t>
        </is>
      </c>
      <c r="I107" t="inlineStr">
        <is>
          <t>ELA FOI ELEITA A MELHOR EM CAMPO NA GOLEADA SOBRE ARGENTINA: 4X0</t>
        </is>
      </c>
      <c r="J107">
        <f>HYPERLINK("https://www.acritica.com/esportes/adriana-brilha-com-a-camisa-da-selec-o-brasileira-na-copa-america-na-colombia-1.275584", "URL")</f>
        <v/>
      </c>
      <c r="K107">
        <f>HYPERLINK("https://raw.githubusercontent.com/marcosmapl/dataset_imigrantes/main/noticias_filtered/a_critica/venezuelanos/2022/06_jul/html/1.275584_1055.html", "HTML")</f>
        <v/>
      </c>
      <c r="L107">
        <f>HYPERLINK("https://raw.githubusercontent.com/marcosmapl/dataset_imigrantes/main/noticias_filtered/a_critica/venezuelanos/2022/06_jul/txt/1.275584_1055.txt", "TXT")</f>
        <v/>
      </c>
    </row>
    <row r="108">
      <c r="A108" s="1" t="n">
        <v>106</v>
      </c>
      <c r="B108" t="n">
        <v>2022</v>
      </c>
      <c r="C108" s="2" t="n">
        <v>44752.66065417824</v>
      </c>
      <c r="D108" t="inlineStr">
        <is>
          <t>G1</t>
        </is>
      </c>
      <c r="E108" t="inlineStr">
        <is>
          <t>VENEZUELANOS</t>
        </is>
      </c>
      <c r="F108" t="inlineStr">
        <is>
          <t>PARÁ</t>
        </is>
      </c>
      <c r="G108" t="inlineStr">
        <is>
          <t>G1 PARÁ — BELÉM</t>
        </is>
      </c>
      <c r="H108" t="inlineStr">
        <is>
          <t>PILOTO PARAENSE DESAPARECE EM FLORESTA DENTRO DE ÁREA INDÍGENA NA VENEZUELA, APÓS POUSO FORÇADO, DIZ FAMÍLIA</t>
        </is>
      </c>
      <c r="I108" t="inlineStr">
        <is>
          <t>ROBERT BENTO DOS SANTOS MENEGACE, DE 26 ANOS, VOLTAVA DE GARIMPO QUANDO DESAPARECEU NO ÚLTIMO DIA 24 DE JUNHO NA FRONTEIRA DO BRASIL COM O PAÍS VIZINHO. INDÍGENAS E PILOTO DE HELICÓPTERO AJUDAM NAS BUSCAS.</t>
        </is>
      </c>
      <c r="J108">
        <f>HYPERLINK("https://g1.globo.com/pa/para/noticia/2022/07/10/piloto-paraense-desaparece-em-floresta-dentro-de-area-indigena-na-venezuela-apos-pane-e-pouso-forcado-diz-familia.ghtml", "URL")</f>
        <v/>
      </c>
      <c r="K108">
        <f>HYPERLINK("https://raw.githubusercontent.com/marcosmapl/dataset_imigrantes/main/noticias_filtered/g1/venezuelanos/2022/06_jul/html/g1_184253fc-2307-11ed-b24f-6dbe51e79fca_2297.html", "HTML")</f>
        <v/>
      </c>
      <c r="L108">
        <f>HYPERLINK("https://raw.githubusercontent.com/marcosmapl/dataset_imigrantes/main/noticias_filtered/g1/venezuelanos/2022/06_jul/txt/g1_184253fc-2307-11ed-b24f-6dbe51e79fca_2297.txt", "TXT")</f>
        <v/>
      </c>
    </row>
    <row r="109">
      <c r="A109" s="1" t="n">
        <v>107</v>
      </c>
      <c r="B109" t="n">
        <v>2022</v>
      </c>
      <c r="C109" s="2" t="n">
        <v>44752.47835756945</v>
      </c>
      <c r="D109" t="inlineStr">
        <is>
          <t>G1</t>
        </is>
      </c>
      <c r="E109" t="inlineStr">
        <is>
          <t>VENEZUELANOS</t>
        </is>
      </c>
      <c r="F109" t="inlineStr">
        <is>
          <t>MUNDO</t>
        </is>
      </c>
      <c r="G109" t="inlineStr">
        <is>
          <t>BBC</t>
        </is>
      </c>
      <c r="H109" t="inlineStr">
        <is>
          <t>POR QUE VENEZUELANOS ESTÃO VOLTANDO AO PAÍS APÓS ÊXODO HISTÓRICO</t>
        </is>
      </c>
      <c r="I109" t="inlineStr">
        <is>
          <t>ATÉ O FINAL DO ANO PASSADO, O NÚMERO DE VENEZUELANOS QUE HAVIA DEIXADO O PAÍS CHEGOU A 6 MILHÕES — MAS ALGUNS COMEÇARAM A VOLTAR AGORA.</t>
        </is>
      </c>
      <c r="J109">
        <f>HYPERLINK("https://g1.globo.com/mundo/noticia/2022/07/10/por-que-venezuelanos-estao-voltando-ao-pais-apos-exodo-historico.ghtml", "URL")</f>
        <v/>
      </c>
      <c r="K109">
        <f>HYPERLINK("https://raw.githubusercontent.com/marcosmapl/dataset_imigrantes/main/noticias_filtered/g1/venezuelanos/2022/06_jul/html/g1_78558402-2326-11ed-b24f-6dbe51e79fca_3978.html", "HTML")</f>
        <v/>
      </c>
      <c r="L109">
        <f>HYPERLINK("https://raw.githubusercontent.com/marcosmapl/dataset_imigrantes/main/noticias_filtered/g1/venezuelanos/2022/06_jul/txt/g1_78558402-2326-11ed-b24f-6dbe51e79fca_3978.txt", "TXT")</f>
        <v/>
      </c>
    </row>
    <row r="110">
      <c r="A110" s="1" t="n">
        <v>108</v>
      </c>
      <c r="B110" t="n">
        <v>2022</v>
      </c>
      <c r="C110" s="2" t="n">
        <v>44752.06453731481</v>
      </c>
      <c r="D110" t="inlineStr">
        <is>
          <t>G1</t>
        </is>
      </c>
      <c r="E110" t="inlineStr">
        <is>
          <t>VENEZUELANOS</t>
        </is>
      </c>
      <c r="F110" t="inlineStr">
        <is>
          <t>JORNAL NACIONAL</t>
        </is>
      </c>
      <c r="G110" t="inlineStr">
        <is>
          <t>JORNAL NACIONAL</t>
        </is>
      </c>
      <c r="H110" t="inlineStr">
        <is>
          <t>BRASILEIROS SE DEDICAM AO TRABALHO VOLUNTÁRIO VOLTADO A VENEZUELANOS EM BH</t>
        </is>
      </c>
      <c r="I110" t="inlineStr">
        <is>
          <t>APESAR DO INTENSO TRABALHO DOS VOLUNTÁRIOS, AS ONGS AFIRMAM QUE AINDA FALTA GENTE PARA COMBATER UM DOS NOSSOS PROBLEMAS MAIS URGENTES: A FOME.</t>
        </is>
      </c>
      <c r="J110">
        <f>HYPERLINK("https://g1.globo.com/jornal-nacional/noticia/2022/07/09/brasileiros-se-dedicam-ao-trabalho-voluntario-voltado-a-venezuelanos-em-bh.ghtml", "URL")</f>
        <v/>
      </c>
      <c r="K110">
        <f>HYPERLINK("https://raw.githubusercontent.com/marcosmapl/dataset_imigrantes/main/noticias_filtered/g1/venezuelanos/2022/06_jul/html/g1_cc83b2f8-230b-11ed-b24f-6dbe51e79fca_2587.html", "HTML")</f>
        <v/>
      </c>
      <c r="L110">
        <f>HYPERLINK("https://raw.githubusercontent.com/marcosmapl/dataset_imigrantes/main/noticias_filtered/g1/venezuelanos/2022/06_jul/txt/g1_cc83b2f8-230b-11ed-b24f-6dbe51e79fca_2587.txt", "TXT")</f>
        <v/>
      </c>
    </row>
    <row r="111">
      <c r="A111" s="1" t="n">
        <v>109</v>
      </c>
      <c r="B111" t="n">
        <v>2022</v>
      </c>
      <c r="C111" s="2" t="n">
        <v>44751.73892361111</v>
      </c>
      <c r="D111" t="inlineStr">
        <is>
          <t>A CRITICA</t>
        </is>
      </c>
      <c r="E111" t="inlineStr">
        <is>
          <t>VENEZUELANOS</t>
        </is>
      </c>
      <c r="F111" t="inlineStr">
        <is>
          <t>ESPORTES</t>
        </is>
      </c>
      <c r="G111" t="inlineStr">
        <is>
          <t>AGÊNCIA BRASIL</t>
        </is>
      </c>
      <c r="H111" t="inlineStr">
        <is>
          <t>GUILHERME SCHMIDT CONQUISTA OURO NO GRAND SLAM DE BUDAPESTE</t>
        </is>
      </c>
      <c r="I111" t="inlineStr">
        <is>
          <t>O JUDOCA GARANTIU 2º PÓDIO BRASILEIRO APÓS A PRATA DE RAFAELA SILVA</t>
        </is>
      </c>
      <c r="J111">
        <f>HYPERLINK("https://www.acritica.com/esportes/guilherme-schmidt-conquista-ouro-no-grand-slam-de-budapeste-1.275498", "URL")</f>
        <v/>
      </c>
      <c r="K111">
        <f>HYPERLINK("https://raw.githubusercontent.com/marcosmapl/dataset_imigrantes/main/noticias_filtered/a_critica/venezuelanos/2022/06_jul/html/1.275498_981.html", "HTML")</f>
        <v/>
      </c>
      <c r="L111">
        <f>HYPERLINK("https://raw.githubusercontent.com/marcosmapl/dataset_imigrantes/main/noticias_filtered/a_critica/venezuelanos/2022/06_jul/txt/1.275498_981.txt", "TXT")</f>
        <v/>
      </c>
    </row>
    <row r="112">
      <c r="A112" s="1" t="n">
        <v>110</v>
      </c>
      <c r="B112" t="n">
        <v>2022</v>
      </c>
      <c r="C112" s="2" t="n">
        <v>44751.49795155093</v>
      </c>
      <c r="D112" t="inlineStr">
        <is>
          <t>G1</t>
        </is>
      </c>
      <c r="E112" t="inlineStr">
        <is>
          <t>VENEZUELANOS</t>
        </is>
      </c>
      <c r="F112" t="inlineStr">
        <is>
          <t>GOIÁS</t>
        </is>
      </c>
      <c r="G112" t="inlineStr">
        <is>
          <t>RAFAEL OLIVEIRA, EDUARDO MARINS E ADRIEL MORAIS, G1 GOIÁS E TV ANHANGUERA</t>
        </is>
      </c>
      <c r="H112" t="inlineStr">
        <is>
          <t>VENEZUELANO É SUSPEITO DE ESTUPRAR MENINA DE 10 ANOS QUE MORAVA COM ELE EM ANÁPOLIS</t>
        </is>
      </c>
      <c r="I112" t="inlineStr">
        <is>
          <t>GAROTA TAMBÉM É VENEZUELANA. A POLÍCIA CIVIL DISSE QUE O HOMEM TAMBÉM COLOCAVA A CRIANÇA PARA PEDIR DINHEIRO E COMIDA EM SEMÁFOROS DA CIDADE, CONFORME MOSTRA UM VÍDEO DE CÂMERA DE SEGURANÇA.</t>
        </is>
      </c>
      <c r="J112">
        <f>HYPERLINK("https://g1.globo.com/go/goias/noticia/2022/07/09/venezuelano-e-suspeito-de-estuprar-menina-de-10-anos-que-morava-com-ele-em-anapolis.ghtml", "URL")</f>
        <v/>
      </c>
      <c r="K112">
        <f>HYPERLINK("https://raw.githubusercontent.com/marcosmapl/dataset_imigrantes/main/noticias_filtered/g1/venezuelanos/2022/06_jul/html/g1_40369c0e-231d-11ed-b24f-6dbe51e79fca_3492.html", "HTML")</f>
        <v/>
      </c>
      <c r="L112">
        <f>HYPERLINK("https://raw.githubusercontent.com/marcosmapl/dataset_imigrantes/main/noticias_filtered/g1/venezuelanos/2022/06_jul/txt/g1_40369c0e-231d-11ed-b24f-6dbe51e79fca_3492.txt", "TXT")</f>
        <v/>
      </c>
    </row>
    <row r="113">
      <c r="A113" s="1" t="n">
        <v>111</v>
      </c>
      <c r="B113" t="n">
        <v>2022</v>
      </c>
      <c r="C113" s="2" t="n">
        <v>44750.76185627315</v>
      </c>
      <c r="D113" t="inlineStr">
        <is>
          <t>G1</t>
        </is>
      </c>
      <c r="E113" t="inlineStr">
        <is>
          <t>VENEZUELANOS</t>
        </is>
      </c>
      <c r="F113" t="inlineStr">
        <is>
          <t>AMAZONAS</t>
        </is>
      </c>
      <c r="G113" t="inlineStr">
        <is>
          <t>G1 AM*</t>
        </is>
      </c>
      <c r="H113" t="inlineStr">
        <is>
          <t>VÍDEO MOSTRA AMIGO DEIXANDO VILA APÓS ASSASSINATO DE VENEZUELANA EM MANAUS</t>
        </is>
      </c>
      <c r="I113" t="inlineStr">
        <is>
          <t>NAS IMAGENS, O HOMEM APARECE DEIXANDO O LOCAL COM UMA MANCHA NAS MÃOS PARECIDA COM SANGUE, SEGUNDO A POLÍCIA CIVIL.</t>
        </is>
      </c>
      <c r="J113">
        <f>HYPERLINK("https://g1.globo.com/am/amazonas/noticia/2022/07/08/video-mostra-amigo-deixando-vila-apos-assassinato-de-venezuelana-em-manaus.ghtml", "URL")</f>
        <v/>
      </c>
      <c r="K113">
        <f>HYPERLINK("https://raw.githubusercontent.com/marcosmapl/dataset_imigrantes/main/noticias_filtered/g1/venezuelanos/2022/06_jul/html/g1_4d8d6668-230d-11ed-b24f-6dbe51e79fca_2680.html", "HTML")</f>
        <v/>
      </c>
      <c r="L113">
        <f>HYPERLINK("https://raw.githubusercontent.com/marcosmapl/dataset_imigrantes/main/noticias_filtered/g1/venezuelanos/2022/06_jul/txt/g1_4d8d6668-230d-11ed-b24f-6dbe51e79fca_2680.txt", "TXT")</f>
        <v/>
      </c>
    </row>
    <row r="114">
      <c r="A114" s="1" t="n">
        <v>112</v>
      </c>
      <c r="B114" t="n">
        <v>2022</v>
      </c>
      <c r="C114" s="2" t="n">
        <v>44750.73474153935</v>
      </c>
      <c r="D114" t="inlineStr">
        <is>
          <t>G1</t>
        </is>
      </c>
      <c r="E114" t="inlineStr">
        <is>
          <t>HAITIANOS</t>
        </is>
      </c>
      <c r="F114" t="inlineStr">
        <is>
          <t>RIO GRANDE DO SUL</t>
        </is>
      </c>
      <c r="G114" t="inlineStr">
        <is>
          <t>MATHEUS BECK E ROGER RUFFATO, G1 RS E RBS TV CAXIAS DO SUL</t>
        </is>
      </c>
      <c r="H114" t="inlineStr">
        <is>
          <t>ANUNCIADOS FILMES QUE COMPETEM NO 50º FESTIVAL DE CINEMA DE GRAMADO; VEJA A LISTA</t>
        </is>
      </c>
      <c r="I114" t="inlineStr">
        <is>
          <t>LONGAS E CURTAS, GAÚCHOS, NACIONAIS E ESTRANGEIROS, SERÃO EXIBIDOS ENTRE OS DIAS 12 E 19 DE AGOSTO, NO PALÁCIO DOS FESTIVAIS. NO DIA 20, SERÃO REVELADOS OS VENCEDORES DOS KIKITOS.</t>
        </is>
      </c>
      <c r="J114">
        <f>HYPERLINK("https://g1.globo.com/rs/rio-grande-do-sul/noticia/2022/07/08/anunciados-filmes-que-competem-no-50o-festival-de-cinema-de-gramado-veja-a-lista.ghtml", "URL")</f>
        <v/>
      </c>
      <c r="K114">
        <f>HYPERLINK("https://raw.githubusercontent.com/marcosmapl/dataset_imigrantes/main/noticias_filtered/g1/haitianos/2022/06_jul/html/g1_61a7d58c-2323-11ed-b24f-6dbe51e79fca_3803.html", "HTML")</f>
        <v/>
      </c>
      <c r="L114">
        <f>HYPERLINK("https://raw.githubusercontent.com/marcosmapl/dataset_imigrantes/main/noticias_filtered/g1/haitianos/2022/06_jul/txt/g1_61a7d58c-2323-11ed-b24f-6dbe51e79fca_3803.txt", "TXT")</f>
        <v/>
      </c>
    </row>
    <row r="115">
      <c r="A115" s="1" t="n">
        <v>113</v>
      </c>
      <c r="B115" t="n">
        <v>2022</v>
      </c>
      <c r="C115" s="2" t="n">
        <v>44750.62383101852</v>
      </c>
      <c r="D115" t="inlineStr">
        <is>
          <t>A CRITICA</t>
        </is>
      </c>
      <c r="E115" t="inlineStr">
        <is>
          <t>VENEZUELANOS</t>
        </is>
      </c>
      <c r="F115" t="inlineStr">
        <is>
          <t>POLICIA</t>
        </is>
      </c>
      <c r="G115" t="inlineStr">
        <is>
          <t>THIAGO MONTEIRO</t>
        </is>
      </c>
      <c r="H115" t="inlineStr">
        <is>
          <t>POLÍCIA PROCURA SUSPEITO DE ASSASSINATO A VENEZUELANA NO MAUAZINHO</t>
        </is>
      </c>
      <c r="I115" t="inlineStr">
        <is>
          <t>ANDRES EDUARDO MUNHOZ PINTO, 31, É PROCURADO PELO ASSASSINATO DE YEIMY YENILETH VARGAS RODRÍGUEZ, 27, MORTA A FACADAS NA TARDE DA ÚLTIMA TERÇA-FEIRA (5)</t>
        </is>
      </c>
      <c r="J115">
        <f>HYPERLINK("https://www.acritica.com/policia/policia-procura-suspeito-de-assassinato-a-venezuelana-no-mauazinho-1.275417", "URL")</f>
        <v/>
      </c>
      <c r="K115">
        <f>HYPERLINK("https://raw.githubusercontent.com/marcosmapl/dataset_imigrantes/main/noticias_filtered/a_critica/venezuelanos/2022/06_jul/html/1.275417_717.html", "HTML")</f>
        <v/>
      </c>
      <c r="L115">
        <f>HYPERLINK("https://raw.githubusercontent.com/marcosmapl/dataset_imigrantes/main/noticias_filtered/a_critica/venezuelanos/2022/06_jul/txt/1.275417_717.txt", "TXT")</f>
        <v/>
      </c>
    </row>
    <row r="116">
      <c r="A116" s="1" t="n">
        <v>114</v>
      </c>
      <c r="B116" t="n">
        <v>2022</v>
      </c>
      <c r="C116" s="2" t="n">
        <v>44750.35443453704</v>
      </c>
      <c r="D116" t="inlineStr">
        <is>
          <t>G1</t>
        </is>
      </c>
      <c r="E116" t="inlineStr">
        <is>
          <t>HAITIANOS</t>
        </is>
      </c>
      <c r="F116" t="inlineStr">
        <is>
          <t>MUNDO</t>
        </is>
      </c>
      <c r="G116" t="inlineStr">
        <is>
          <t>FRANCE PRESSE</t>
        </is>
      </c>
      <c r="H116" t="inlineStr">
        <is>
          <t>UM ANO APÓS ASSASSINATO DE PRESIDENTE DO HAITI, INVESTIGAÇÃO ESTÁ PARALISADA</t>
        </is>
      </c>
      <c r="I116" t="inlineStr">
        <is>
          <t>DESDE A MORTE DE MOISE, A PRESIDÊNCIA ESTÁ VAGA E NÃO HÁ DATA PREVISTA PARA A ELEIÇÃO DE SEU SUCESSOR. CINCO JUÍZES DE INSTRUÇÃO SE SUCEDERAM NESTE CASO, E NENHUM DELES ACUSOU FORMALMENTE QUALQUER UMA DAS 40 PESSOAS PRESAS.</t>
        </is>
      </c>
      <c r="J116">
        <f>HYPERLINK("https://g1.globo.com/mundo/noticia/2022/07/08/um-ano-apos-assassinato-de-presidente-do-haiti-investigacao-esta-paralisada.ghtml", "URL")</f>
        <v/>
      </c>
      <c r="K116">
        <f>HYPERLINK("https://raw.githubusercontent.com/marcosmapl/dataset_imigrantes/main/noticias_filtered/g1/haitianos/2022/06_jul/html/g1_b0e426cc-22ed-11ed-b24f-6dbe51e79fca_1685.html", "HTML")</f>
        <v/>
      </c>
      <c r="L116">
        <f>HYPERLINK("https://raw.githubusercontent.com/marcosmapl/dataset_imigrantes/main/noticias_filtered/g1/haitianos/2022/06_jul/txt/g1_b0e426cc-22ed-11ed-b24f-6dbe51e79fca_1685.txt", "TXT")</f>
        <v/>
      </c>
    </row>
    <row r="117">
      <c r="A117" s="1" t="n">
        <v>115</v>
      </c>
      <c r="B117" t="n">
        <v>2022</v>
      </c>
      <c r="C117" s="2" t="n">
        <v>44749.11012111111</v>
      </c>
      <c r="D117" t="inlineStr">
        <is>
          <t>G1</t>
        </is>
      </c>
      <c r="E117" t="inlineStr">
        <is>
          <t>HAITIANOS</t>
        </is>
      </c>
      <c r="F117" t="inlineStr">
        <is>
          <t>MINAS GERAIS</t>
        </is>
      </c>
      <c r="G117" t="inlineStr">
        <is>
          <t>GUILHERME PIMENTA, G1 MINAS — BELO HORIZONTE</t>
        </is>
      </c>
      <c r="H117" t="inlineStr">
        <is>
          <t>JUSTIÇA CONDENA SUPERMERCADO E CONSTRUTORA POR RACISMO E XENOFOBIA CONTRA EX-FUNCIONÁRIO</t>
        </is>
      </c>
      <c r="I117" t="inlineStr">
        <is>
          <t>INDENIZAÇÃO POR DANOS MORAIS FOI FIXADA EM R$ 40 MIL; AS EMPRESAS RECORRERAM E CASO SEGUE SOB ANÁLISE DO TST.</t>
        </is>
      </c>
      <c r="J117">
        <f>HYPERLINK("https://g1.globo.com/mg/minas-gerais/noticia/2022/07/06/justica-condena-supermercado-e-construtora-por-racismo-e-xenofobia-contra-ex-funcionario.ghtml", "URL")</f>
        <v/>
      </c>
      <c r="K117">
        <f>HYPERLINK("https://raw.githubusercontent.com/marcosmapl/dataset_imigrantes/main/noticias_filtered/g1/haitianos/2022/06_jul/html/g1_6f638208-22f5-11ed-b24f-6dbe51e79fca_1949.html", "HTML")</f>
        <v/>
      </c>
      <c r="L117">
        <f>HYPERLINK("https://raw.githubusercontent.com/marcosmapl/dataset_imigrantes/main/noticias_filtered/g1/haitianos/2022/06_jul/txt/g1_6f638208-22f5-11ed-b24f-6dbe51e79fca_1949.txt", "TXT")</f>
        <v/>
      </c>
    </row>
    <row r="118">
      <c r="A118" s="1" t="n">
        <v>116</v>
      </c>
      <c r="B118" t="n">
        <v>2022</v>
      </c>
      <c r="C118" s="2" t="n">
        <v>44748.74861210648</v>
      </c>
      <c r="D118" t="inlineStr">
        <is>
          <t>G1</t>
        </is>
      </c>
      <c r="E118" t="inlineStr">
        <is>
          <t>VENEZUELANOS</t>
        </is>
      </c>
      <c r="F118" t="inlineStr">
        <is>
          <t>AMAZONAS</t>
        </is>
      </c>
      <c r="G118" t="inlineStr">
        <is>
          <t>G1 AM</t>
        </is>
      </c>
      <c r="H118" t="inlineStr">
        <is>
          <t>MORTA DENTRO DE CASA EM MANAUS, VENEZUELANA GUARDAVA DINHEIRO PARA TRAZER FILHA AO BRASIL</t>
        </is>
      </c>
      <c r="I118" t="inlineStr">
        <is>
          <t>INFORMAÇÃO É DE VIZINHOS DA VÍTIMA. MULHER FOI ASSASSINADA A FACADAS DENTRO DA PRÓPRIA CASA, NO BAIRRO MAUZINHO, ZONA LESTE DA CAPITAL, NESSA TERÇA (5).</t>
        </is>
      </c>
      <c r="J118">
        <f>HYPERLINK("https://g1.globo.com/am/amazonas/noticia/2022/07/06/morta-dentro-de-casa-em-manaus-venezuelana-guardava-dinheiro-para-trazer-filha-ao-brasil.ghtml", "URL")</f>
        <v/>
      </c>
      <c r="K118">
        <f>HYPERLINK("https://raw.githubusercontent.com/marcosmapl/dataset_imigrantes/main/noticias_filtered/g1/venezuelanos/2022/06_jul/html/g1_3401bd1c-2307-11ed-b24f-6dbe51e79fca_2303.html", "HTML")</f>
        <v/>
      </c>
      <c r="L118">
        <f>HYPERLINK("https://raw.githubusercontent.com/marcosmapl/dataset_imigrantes/main/noticias_filtered/g1/venezuelanos/2022/06_jul/txt/g1_3401bd1c-2307-11ed-b24f-6dbe51e79fca_2303.txt", "TXT")</f>
        <v/>
      </c>
    </row>
    <row r="119">
      <c r="A119" s="1" t="n">
        <v>117</v>
      </c>
      <c r="B119" t="n">
        <v>2022</v>
      </c>
      <c r="C119" s="2" t="n">
        <v>44748.54181408565</v>
      </c>
      <c r="D119" t="inlineStr">
        <is>
          <t>G1</t>
        </is>
      </c>
      <c r="E119" t="inlineStr">
        <is>
          <t>HAITIANOS</t>
        </is>
      </c>
      <c r="F119" t="inlineStr">
        <is>
          <t>TECNOLOGIA</t>
        </is>
      </c>
      <c r="G119" t="inlineStr">
        <is>
          <t>VICTOR HUGO SILVA, G1</t>
        </is>
      </c>
      <c r="H119" t="inlineStr">
        <is>
          <t>META CRIA INTELIGÊNCIA ARTIFICIAL CAPAZ DE TRADUZIR 200 IDIOMAS NO FACEBOOK, NO INSTAGRAM E NA WIKIPÉDIA</t>
        </is>
      </c>
      <c r="I119" t="inlineStr">
        <is>
          <t>MODELO DESENVOLVIDO PELA COMPANHIA AGRUPA IDIOMAS PARECIDOS PARA MELHORAR TRADUÇÕES NA INTERNET. ELE TAMBÉM SERÁ USADO PARA FACILITAR INTERAÇÕES EM IDIOMAS DIFERENTES NO METAVERSO E MELHORAR DETECÇÃO DE CONTEÚDO PREJUDICIAL NAS REDES SOCIAIS.</t>
        </is>
      </c>
      <c r="J119">
        <f>HYPERLINK("https://g1.globo.com/tecnologia/noticia/2022/07/06/meta-cria-inteligencia-artificial-capaz-de-traduzir-200-idiomas-no-facebook-no-instagram-e-na-wikipedia.ghtml", "URL")</f>
        <v/>
      </c>
      <c r="K119">
        <f>HYPERLINK("https://raw.githubusercontent.com/marcosmapl/dataset_imigrantes/main/noticias_filtered/g1/haitianos/2022/06_jul/html/g1_b1a53ccc-231a-11ed-b24f-6dbe51e79fca_3347.html", "HTML")</f>
        <v/>
      </c>
      <c r="L119">
        <f>HYPERLINK("https://raw.githubusercontent.com/marcosmapl/dataset_imigrantes/main/noticias_filtered/g1/haitianos/2022/06_jul/txt/g1_b1a53ccc-231a-11ed-b24f-6dbe51e79fca_3347.txt", "TXT")</f>
        <v/>
      </c>
    </row>
    <row r="120">
      <c r="A120" s="1" t="n">
        <v>118</v>
      </c>
      <c r="B120" t="n">
        <v>2022</v>
      </c>
      <c r="C120" s="2" t="n">
        <v>44748.37543212963</v>
      </c>
      <c r="D120" t="inlineStr">
        <is>
          <t>G1</t>
        </is>
      </c>
      <c r="E120" t="inlineStr">
        <is>
          <t>HAITIANOS</t>
        </is>
      </c>
      <c r="F120" t="inlineStr">
        <is>
          <t>VALE DO PARAÍBA E REGIÃO</t>
        </is>
      </c>
      <c r="G120" t="inlineStr">
        <is>
          <t>G1 VALE DO PARAÍBA E REGIÃO</t>
        </is>
      </c>
      <c r="H120" t="inlineStr">
        <is>
          <t>CRIANÇA BRASILEIRA É RESGATADA NO MÉXICO APÓS MORTE DA MÃE, QUE TENTAVA ENTRAR DE FORMA ILEGAL NOS EUA</t>
        </is>
      </c>
      <c r="I120" t="inlineStr">
        <is>
          <t>MENINA DE 3 ANOS FOI REPATRIADA E CHEGOU AO BRASIL NA ÚLTIMA SEXTA-FEIRA (1°). ELA FOI ENTREGUE AO PAI, QUE VIVE EM JACAREÍ, NO INTERIOR DE SÃO PAULO.</t>
        </is>
      </c>
      <c r="J120">
        <f>HYPERLINK("https://g1.globo.com/sp/vale-do-paraiba-regiao/noticia/2022/07/06/crianca-brasileira-e-resgatada-no-mexico-apos-morte-da-mae-que-tentava-entrar-de-forma-ilegal-nos-eua.ghtml", "URL")</f>
        <v/>
      </c>
      <c r="K120">
        <f>HYPERLINK("https://raw.githubusercontent.com/marcosmapl/dataset_imigrantes/main/noticias_filtered/g1/haitianos/2022/06_jul/html/g1_7f570b6c-22fa-11ed-b24f-6dbe51e79fca_2223.html", "HTML")</f>
        <v/>
      </c>
      <c r="L120">
        <f>HYPERLINK("https://raw.githubusercontent.com/marcosmapl/dataset_imigrantes/main/noticias_filtered/g1/haitianos/2022/06_jul/txt/g1_7f570b6c-22fa-11ed-b24f-6dbe51e79fca_2223.txt", "TXT")</f>
        <v/>
      </c>
    </row>
    <row r="121">
      <c r="A121" s="1" t="n">
        <v>119</v>
      </c>
      <c r="B121" t="n">
        <v>2022</v>
      </c>
      <c r="C121" s="2" t="n">
        <v>44747.76704861111</v>
      </c>
      <c r="D121" t="inlineStr">
        <is>
          <t>A CRITICA</t>
        </is>
      </c>
      <c r="E121" t="inlineStr">
        <is>
          <t>VENEZUELANOS</t>
        </is>
      </c>
      <c r="F121" t="inlineStr">
        <is>
          <t>POLICIA</t>
        </is>
      </c>
      <c r="G121" t="inlineStr">
        <is>
          <t>NATASHA PINTO</t>
        </is>
      </c>
      <c r="H121" t="inlineStr">
        <is>
          <t>BANDIDOS INVADEM CASA E MATAM VENEZUELANA NO BAIRRO MAUAZINHO, NA ZONA LESTE DE MANAUS</t>
        </is>
      </c>
      <c r="I121" t="inlineStr">
        <is>
          <t>YEIMY YENILETH VARGAS RODRÍGUEZ, 27,  FOI MORTA A FACADAS NA TARDE DESTA TERÇA-FEIRA (5). VIZINHOS ACIONARAM OS POLICIAIS QUANDO OUVIRAM GRITOS NA CASA</t>
        </is>
      </c>
      <c r="J121">
        <f>HYPERLINK("https://www.acritica.com/policia/bandidos-invadem-casa-e-matam-venezuelana-no-bairro-mauazinho-na-zona-leste-de-manaus-1.275144", "URL")</f>
        <v/>
      </c>
      <c r="K121">
        <f>HYPERLINK("https://raw.githubusercontent.com/marcosmapl/dataset_imigrantes/main/noticias_filtered/a_critica/venezuelanos/2022/06_jul/html/1.275144_874.html", "HTML")</f>
        <v/>
      </c>
      <c r="L121">
        <f>HYPERLINK("https://raw.githubusercontent.com/marcosmapl/dataset_imigrantes/main/noticias_filtered/a_critica/venezuelanos/2022/06_jul/txt/1.275144_874.txt", "TXT")</f>
        <v/>
      </c>
    </row>
    <row r="122">
      <c r="A122" s="1" t="n">
        <v>120</v>
      </c>
      <c r="B122" t="n">
        <v>2022</v>
      </c>
      <c r="C122" s="2" t="n">
        <v>44746.66718857639</v>
      </c>
      <c r="D122" t="inlineStr">
        <is>
          <t>G1</t>
        </is>
      </c>
      <c r="E122" t="inlineStr">
        <is>
          <t>HAITIANOS</t>
        </is>
      </c>
      <c r="F122" t="inlineStr">
        <is>
          <t>OESTE E SUDOESTE</t>
        </is>
      </c>
      <c r="G122" t="inlineStr">
        <is>
          <t>RPC CASCAVEL</t>
        </is>
      </c>
      <c r="H122" t="inlineStr">
        <is>
          <t>JOVEM ATROPELADA COM FILHA ENQUANTO AGUARDAVA PARA ATRAVESSAR RUA EM CASCAVEL RECEBE ALTA HOSPITALAR</t>
        </is>
      </c>
      <c r="I122" t="inlineStr">
        <is>
          <t>MÃE E FILHA FORAM ATROPELADAS EM 20 DE JUNHO. MOTORISTA INFORMOU QUE PERDEU O CONTROLE DO VEÍCULO. MENINA DE 4 ANOS PERMANECE INTERNADA. ESTADO DE SAÚDE DELA NÃO FOI DIVULGADO.</t>
        </is>
      </c>
      <c r="J122">
        <f>HYPERLINK("https://g1.globo.com/pr/oeste-sudoeste/noticia/2022/07/04/jovem-atropelada-com-filha-enquanto-aguardava-para-atravessar-rua-em-cascavel-recebe-alta-hospitalar.ghtml", "URL")</f>
        <v/>
      </c>
      <c r="K122">
        <f>HYPERLINK("https://raw.githubusercontent.com/marcosmapl/dataset_imigrantes/main/noticias_filtered/g1/haitianos/2022/06_jul/html/g1_10f1b5b6-2307-11ed-b24f-6dbe51e79fca_2295.html", "HTML")</f>
        <v/>
      </c>
      <c r="L122">
        <f>HYPERLINK("https://raw.githubusercontent.com/marcosmapl/dataset_imigrantes/main/noticias_filtered/g1/haitianos/2022/06_jul/txt/g1_10f1b5b6-2307-11ed-b24f-6dbe51e79fca_2295.txt", "TXT")</f>
        <v/>
      </c>
    </row>
    <row r="123">
      <c r="A123" s="1" t="n">
        <v>121</v>
      </c>
      <c r="B123" t="n">
        <v>2022</v>
      </c>
      <c r="C123" s="2" t="n">
        <v>44746.61394053241</v>
      </c>
      <c r="D123" t="inlineStr">
        <is>
          <t>G1</t>
        </is>
      </c>
      <c r="E123" t="inlineStr">
        <is>
          <t>HAITIANOS</t>
        </is>
      </c>
      <c r="F123" t="inlineStr">
        <is>
          <t>RONDÔNIA</t>
        </is>
      </c>
      <c r="G123" t="inlineStr">
        <is>
          <t>G1 RO E CBN PORTO VELHO</t>
        </is>
      </c>
      <c r="H123" t="inlineStr">
        <is>
          <t>DUAS PESSOAS MORREM EM ACIDENTES DE TRÂNSITO DURANTE O FIM DE SEMANA EM PORTO VELHO E CANDEIAS</t>
        </is>
      </c>
      <c r="I123" t="inlineStr">
        <is>
          <t>UM DOS ACIDENTE ACONTECEU NA BR-364. UMA DAS VÍTIMAS ERA DE NACIONALIDADE HAITIANA.</t>
        </is>
      </c>
      <c r="J123">
        <f>HYPERLINK("https://g1.globo.com/ro/rondonia/noticia/2022/07/04/duas-pessoas-morrem-em-acidentes-de-transito-durante-o-fim-de-semana-em-porto-velho-e-candeias.ghtml", "URL")</f>
        <v/>
      </c>
      <c r="K123">
        <f>HYPERLINK("https://raw.githubusercontent.com/marcosmapl/dataset_imigrantes/main/noticias_filtered/g1/haitianos/2022/06_jul/html/g1_6153aff8-2327-11ed-b24f-6dbe51e79fca_4031.html", "HTML")</f>
        <v/>
      </c>
      <c r="L123">
        <f>HYPERLINK("https://raw.githubusercontent.com/marcosmapl/dataset_imigrantes/main/noticias_filtered/g1/haitianos/2022/06_jul/txt/g1_6153aff8-2327-11ed-b24f-6dbe51e79fca_4031.txt", "TXT")</f>
        <v/>
      </c>
    </row>
    <row r="124">
      <c r="A124" s="1" t="n">
        <v>122</v>
      </c>
      <c r="B124" t="n">
        <v>2022</v>
      </c>
      <c r="C124" s="2" t="n">
        <v>44746.34346854167</v>
      </c>
      <c r="D124" t="inlineStr">
        <is>
          <t>G1</t>
        </is>
      </c>
      <c r="E124" t="inlineStr">
        <is>
          <t>VENEZUELANOS</t>
        </is>
      </c>
      <c r="F124" t="inlineStr">
        <is>
          <t>SANTOS E REGIÃO</t>
        </is>
      </c>
      <c r="G124" t="inlineStr">
        <is>
          <t>CAROLINE MELO, G1 SANTOS</t>
        </is>
      </c>
      <c r="H124" t="inlineStr">
        <is>
          <t>JOGADOR VENEZUELANO É ABANDONADO POR EMPRESÁRIO NO BRASIL, DESISTE DO FUTEBOL E VIRA CANTOR GOSPEL</t>
        </is>
      </c>
      <c r="I124" t="inlineStr">
        <is>
          <t>MANUEL MOGOLLÓN PASSOU POR DIFICULDADES EM SUA TRAJETÓRIA NO ESPORTE, MAS SE ENCONTROU NA MÚSICA EVANGÉLICA.</t>
        </is>
      </c>
      <c r="J124">
        <f>HYPERLINK("https://g1.globo.com/sp/santos-regiao/noticia/2022/07/04/jogador-venezuelano-e-abandonado-por-empresario-no-brasil-desiste-do-futebol-e-vira-cantor-gospel.ghtml", "URL")</f>
        <v/>
      </c>
      <c r="K124">
        <f>HYPERLINK("https://raw.githubusercontent.com/marcosmapl/dataset_imigrantes/main/noticias_filtered/g1/venezuelanos/2022/06_jul/html/g1_f59d8082-232a-11ed-b24f-6dbe51e79fca_4213.html", "HTML")</f>
        <v/>
      </c>
      <c r="L124">
        <f>HYPERLINK("https://raw.githubusercontent.com/marcosmapl/dataset_imigrantes/main/noticias_filtered/g1/venezuelanos/2022/06_jul/txt/g1_f59d8082-232a-11ed-b24f-6dbe51e79fca_4213.txt", "TXT")</f>
        <v/>
      </c>
    </row>
    <row r="125">
      <c r="A125" s="1" t="n">
        <v>123</v>
      </c>
      <c r="B125" t="n">
        <v>2022</v>
      </c>
      <c r="C125" s="2" t="n">
        <v>44745.98693128472</v>
      </c>
      <c r="D125" t="inlineStr">
        <is>
          <t>G1</t>
        </is>
      </c>
      <c r="E125" t="inlineStr">
        <is>
          <t>HAITIANOS</t>
        </is>
      </c>
      <c r="F125" t="inlineStr">
        <is>
          <t>RIO GRANDE DO SUL</t>
        </is>
      </c>
      <c r="G125" t="inlineStr">
        <is>
          <t>G1 RS E RBS TV</t>
        </is>
      </c>
      <c r="H125" t="inlineStr">
        <is>
          <t>HAITIANO SUSPEITO DE MATAR CONTERRÂNEO EM CAXIAS DO SUL É PRESO, DIZ POLÍCIA</t>
        </is>
      </c>
      <c r="I125" t="inlineStr">
        <is>
          <t>CRIME TERIA ACONTECIDO EM 29 DE JUNHO E TERIA SIDO MOTIVADO POR UMA DISCUSSÃO. SUSPEITO FOI PRESO TEMPORARIAMENTE E ESTÁ À DISPOSIÇÃO DA JUSTIÇA.</t>
        </is>
      </c>
      <c r="J125">
        <f>HYPERLINK("https://g1.globo.com/rs/rio-grande-do-sul/noticia/2022/07/03/haitiano-suspeito-de-matar-conterraneo-em-caxias-do-sul-e-preso-diz-policia.ghtml", "URL")</f>
        <v/>
      </c>
      <c r="K125">
        <f>HYPERLINK("https://raw.githubusercontent.com/marcosmapl/dataset_imigrantes/main/noticias_filtered/g1/haitianos/2022/06_jul/html/g1_c6987f82-22f1-11ed-b24f-6dbe51e79fca_1765.html", "HTML")</f>
        <v/>
      </c>
      <c r="L125">
        <f>HYPERLINK("https://raw.githubusercontent.com/marcosmapl/dataset_imigrantes/main/noticias_filtered/g1/haitianos/2022/06_jul/txt/g1_c6987f82-22f1-11ed-b24f-6dbe51e79fca_1765.txt", "TXT")</f>
        <v/>
      </c>
    </row>
    <row r="126">
      <c r="A126" s="1" t="n">
        <v>124</v>
      </c>
      <c r="B126" t="n">
        <v>2022</v>
      </c>
      <c r="C126" s="2" t="n">
        <v>44743.99363321759</v>
      </c>
      <c r="D126" t="inlineStr">
        <is>
          <t>G1</t>
        </is>
      </c>
      <c r="E126" t="inlineStr">
        <is>
          <t>VENEZUELANOS</t>
        </is>
      </c>
      <c r="F126" t="inlineStr">
        <is>
          <t>MUNDO</t>
        </is>
      </c>
      <c r="G126" t="inlineStr">
        <is>
          <t>REUTERS</t>
        </is>
      </c>
      <c r="H126" t="inlineStr">
        <is>
          <t>LÍDER INDÍGENA QUE COMBATIA MINERAÇÃO ILEGAL É MORTO NA VENEZUELA, DIZ ONG</t>
        </is>
      </c>
      <c r="I126" t="inlineStr">
        <is>
          <t>VIRGILIO TRUJILLO ARANA, UM INDÍGENA UWOTTUJA DE 38 ANOS, ERA DEFENSOR DA AMAZÔNIA VENEZUELANA E HAVIA FORMADO GRUPOS COMUNITÁRIOS PARA ATUAR COMO GUARDIÕES DO MUNICÍPIO DE AUTANA, NO AMAZONAS.</t>
        </is>
      </c>
      <c r="J126">
        <f>HYPERLINK("https://g1.globo.com/mundo/noticia/2022/07/01/lider-indigena-que-combatia-mineracao-ilegal-e-morto-na-venezuela-diz-ong.ghtml", "URL")</f>
        <v/>
      </c>
      <c r="K126">
        <f>HYPERLINK("https://raw.githubusercontent.com/marcosmapl/dataset_imigrantes/main/noticias_filtered/g1/venezuelanos/2022/06_jul/html/g1_09a84fae-2325-11ed-b24f-6dbe51e79fca_3894.html", "HTML")</f>
        <v/>
      </c>
      <c r="L126">
        <f>HYPERLINK("https://raw.githubusercontent.com/marcosmapl/dataset_imigrantes/main/noticias_filtered/g1/venezuelanos/2022/06_jul/txt/g1_09a84fae-2325-11ed-b24f-6dbe51e79fca_3894.txt", "TXT")</f>
        <v/>
      </c>
    </row>
    <row r="127">
      <c r="A127" s="1" t="n">
        <v>125</v>
      </c>
      <c r="B127" t="n">
        <v>2022</v>
      </c>
      <c r="C127" s="2" t="n">
        <v>44743.90319476852</v>
      </c>
      <c r="D127" t="inlineStr">
        <is>
          <t>G1</t>
        </is>
      </c>
      <c r="E127" t="inlineStr">
        <is>
          <t>HAITIANOS</t>
        </is>
      </c>
      <c r="F127" t="inlineStr">
        <is>
          <t>MATO GROSSO</t>
        </is>
      </c>
      <c r="G127" t="inlineStr">
        <is>
          <t>ROGÉRIO JÚNIOR, MATHEUS MAURÍCIO E LUIZ ALVES, G1 MT E TV CENTRO AMÉRICA</t>
        </is>
      </c>
      <c r="H127" t="inlineStr">
        <is>
          <t>'NÃO QUERO MAIS PASSAR POR ISSO', DIZ  AMBULANTES HAITIANOS QUE FORAM RETIRADOS À FORÇA DO CENTRO DE CUIABÁ</t>
        </is>
      </c>
      <c r="I127" t="inlineStr">
        <is>
          <t>A MULHER HAITIANA SUBIU NA CARROCERIA DA CAMINHONETE DA PREFEITURA PARA FICAR JUNTO DAS MERCADORIAS APREENDIDAS E FOI LEVADA ASSIM ATÉ A DELEGACIA. SECRETARIA DIZ QUE FOI ESCOLHA DELA IR DAQUELA MANEIRA.</t>
        </is>
      </c>
      <c r="J127">
        <f>HYPERLINK("https://g1.globo.com/mt/mato-grosso/noticia/2022/07/01/nao-quero-mais-passar-por-isso-diz-casal-de-haitianos-retirados-a-forca-do-centro-de-cuiaba.ghtml", "URL")</f>
        <v/>
      </c>
      <c r="K127">
        <f>HYPERLINK("https://raw.githubusercontent.com/marcosmapl/dataset_imigrantes/main/noticias_filtered/g1/haitianos/2022/06_jul/html/g1_cf85568c-22f7-11ed-b24f-6dbe51e79fca_2097.html", "HTML")</f>
        <v/>
      </c>
      <c r="L127">
        <f>HYPERLINK("https://raw.githubusercontent.com/marcosmapl/dataset_imigrantes/main/noticias_filtered/g1/haitianos/2022/06_jul/txt/g1_cf85568c-22f7-11ed-b24f-6dbe51e79fca_2097.txt", "TXT")</f>
        <v/>
      </c>
    </row>
    <row r="128">
      <c r="A128" s="1" t="n">
        <v>126</v>
      </c>
      <c r="B128" t="n">
        <v>2022</v>
      </c>
      <c r="C128" s="2" t="n">
        <v>44743.75</v>
      </c>
      <c r="D128" t="inlineStr">
        <is>
          <t>PORTAL AMAZONIA</t>
        </is>
      </c>
      <c r="E128" t="inlineStr">
        <is>
          <t>VENEZUELANOS</t>
        </is>
      </c>
      <c r="F128" t="inlineStr">
        <is>
          <t>TURISMO,AMAZÔNIA INTERNACIONAL</t>
        </is>
      </c>
      <c r="G128" t="inlineStr">
        <is>
          <t>REDAÇÃO - JORNALISMO@PORTALAMAZONIA.COM</t>
        </is>
      </c>
      <c r="H128" t="inlineStr">
        <is>
          <t>O QUE ACONTECEU COM O AVIÃO DC-3 PRÓXIMO A SALTO ANGEL NA VENEZUELA?</t>
        </is>
      </c>
      <c r="I128" t="inlineStr">
        <is>
          <t>LOCALIZADO PRÓXIMO À MAIOR CACHOEIRA DO MUNDO, O AVIÃO ACABOU SE TORNANDO UM PONTO TURÍSTICO, MAS SUA HISTÓRIA DIVERGE EM DIVERSOS RELATOS.</t>
        </is>
      </c>
      <c r="J128">
        <f>HYPERLINK("https://portalamazonia.com/estados/amazonia-internacional/o-que-aconteceu-com-o-aviao-dc-3-proximo-a-salto-angel-na-venezuela", "URL")</f>
        <v/>
      </c>
      <c r="K128">
        <f>HYPERLINK("https://raw.githubusercontent.com/marcosmapl/dataset_imigrantes/main/noticias_filtered/portal_amazonia/venezuelanos/2022/06_jul/html/36018.87853_1493.html", "HTML")</f>
        <v/>
      </c>
      <c r="L128">
        <f>HYPERLINK("https://raw.githubusercontent.com/marcosmapl/dataset_imigrantes/main/noticias_filtered/portal_amazonia/venezuelanos/2022/06_jul/txt/36018.87853_1493.txt", "TXT")</f>
        <v/>
      </c>
    </row>
    <row r="129">
      <c r="A129" s="1" t="n">
        <v>127</v>
      </c>
      <c r="B129" t="n">
        <v>2022</v>
      </c>
      <c r="C129" s="2" t="n">
        <v>44742.48365965277</v>
      </c>
      <c r="D129" t="inlineStr">
        <is>
          <t>G1</t>
        </is>
      </c>
      <c r="E129" t="inlineStr">
        <is>
          <t>HAITIANOS</t>
        </is>
      </c>
      <c r="F129" t="inlineStr">
        <is>
          <t>MATO GROSSO</t>
        </is>
      </c>
      <c r="G129" t="inlineStr">
        <is>
          <t>G1 MT</t>
        </is>
      </c>
      <c r="H129" t="inlineStr">
        <is>
          <t>VÍDEO: AMBULANTES SÃO RETIRADOS DO CENTRO DE CUIABÁ E PREFEITURA DIZ QUE NÃO AUTORIZOU AÇÃO</t>
        </is>
      </c>
      <c r="I129" t="inlineStr">
        <is>
          <t>PREFEITURA DE CUIABÁ DIZ QUE NÃO DETERMINOU AÇÃO E POLÍCIA MILITAR AFIRMA QUE APENAS PRESTOU APOIO AOS TRABALHADORES.</t>
        </is>
      </c>
      <c r="J129">
        <f>HYPERLINK("https://g1.globo.com/mt/mato-grosso/noticia/2022/06/30/video-ambulantes-sao-retirados-do-centro-de-cuiaba-e-prefeitura-diz-que-nao-autorizou-acao.ghtml", "URL")</f>
        <v/>
      </c>
      <c r="K129">
        <f>HYPERLINK("https://raw.githubusercontent.com/marcosmapl/dataset_imigrantes/main/noticias_filtered/g1/haitianos/2022/05_jun/html/g1_781d634a-22f6-11ed-b24f-6dbe51e79fca_2015.html", "HTML")</f>
        <v/>
      </c>
      <c r="L129">
        <f>HYPERLINK("https://raw.githubusercontent.com/marcosmapl/dataset_imigrantes/main/noticias_filtered/g1/haitianos/2022/05_jun/txt/g1_781d634a-22f6-11ed-b24f-6dbe51e79fca_2015.txt", "TXT")</f>
        <v/>
      </c>
    </row>
    <row r="130">
      <c r="A130" s="1" t="n">
        <v>128</v>
      </c>
      <c r="B130" t="n">
        <v>2022</v>
      </c>
      <c r="C130" s="2" t="n">
        <v>44741.58260041667</v>
      </c>
      <c r="D130" t="inlineStr">
        <is>
          <t>G1</t>
        </is>
      </c>
      <c r="E130" t="inlineStr">
        <is>
          <t>VENEZUELANOS</t>
        </is>
      </c>
      <c r="F130" t="inlineStr">
        <is>
          <t>SANTA CATARINA</t>
        </is>
      </c>
      <c r="G130" t="inlineStr">
        <is>
          <t>CLARÌSSA BATÌSTELA E PAULO BATISTELLA, G1 SC E NSC</t>
        </is>
      </c>
      <c r="H130" t="inlineStr">
        <is>
          <t>OITO VENEZUELANOS FICAM FERIDOS EM ACIDENTE NO OESTE DE SC; VÍTIMAS VIAJAVAM NO MESMO CARRO</t>
        </is>
      </c>
      <c r="I130" t="inlineStr">
        <is>
          <t>VEÍCULO TINHA CAPACIDADE PARA CINCO PESSOAS E CAIU EM UMA RIBANCEIRA EM NOVA ITABERABA.</t>
        </is>
      </c>
      <c r="J130">
        <f>HYPERLINK("https://g1.globo.com/sc/santa-catarina/noticia/2022/06/29/oito-venezuelanos-ficam-feridos-em-acidente-no-oeste-de-sc-vitimas-viajavam-no-mesmo-carro.ghtml", "URL")</f>
        <v/>
      </c>
      <c r="K130">
        <f>HYPERLINK("https://raw.githubusercontent.com/marcosmapl/dataset_imigrantes/main/noticias_filtered/g1/venezuelanos/2022/05_jun/html/g1_8f0f81e0-2324-11ed-b24f-6dbe51e79fca_3877.html", "HTML")</f>
        <v/>
      </c>
      <c r="L130">
        <f>HYPERLINK("https://raw.githubusercontent.com/marcosmapl/dataset_imigrantes/main/noticias_filtered/g1/venezuelanos/2022/05_jun/txt/g1_8f0f81e0-2324-11ed-b24f-6dbe51e79fca_3877.txt", "TXT")</f>
        <v/>
      </c>
    </row>
    <row r="131">
      <c r="A131" s="1" t="n">
        <v>129</v>
      </c>
      <c r="B131" t="n">
        <v>2022</v>
      </c>
      <c r="C131" s="2" t="n">
        <v>44741.44360142361</v>
      </c>
      <c r="D131" t="inlineStr">
        <is>
          <t>G1</t>
        </is>
      </c>
      <c r="E131" t="inlineStr">
        <is>
          <t>HAITIANOS</t>
        </is>
      </c>
      <c r="F131" t="inlineStr">
        <is>
          <t>RIO GRANDE DO SUL</t>
        </is>
      </c>
      <c r="G131" t="inlineStr">
        <is>
          <t>ROGER RUFFATO, RBS TV CAXIAS DO SUL</t>
        </is>
      </c>
      <c r="H131" t="inlineStr">
        <is>
          <t>HAITIANO É MORTO COM GOLPES DE FACA DURANTE UMA BRIGA EM CAXIAS DO SUL, NA SERRA, DIZ POLÍCIA</t>
        </is>
      </c>
      <c r="I131" t="inlineStr">
        <is>
          <t>SEGUNDO A BRIGADA MILITAR, HOMEM FOI ENCONTRADO MORTO APÓS AS 21H DESTA TERÇA (28). CONFORME A POLÍCIA CIVIL AUTOR, QUE TAMBÉM SERIA HAITIANO, FUGIU DO LOCAL E, ATÉ A MANHÃ DESTA QUARTA (29), NÃO FOI LOCALIZADO.</t>
        </is>
      </c>
      <c r="J131">
        <f>HYPERLINK("https://g1.globo.com/rs/rio-grande-do-sul/noticia/2022/06/29/haitiano-e-morto-com-golpes-de-faca-durante-uma-briga-em-caxias-do-sul-na-serra-diz-policia.ghtml", "URL")</f>
        <v/>
      </c>
      <c r="K131">
        <f>HYPERLINK("https://raw.githubusercontent.com/marcosmapl/dataset_imigrantes/main/noticias_filtered/g1/haitianos/2022/05_jun/html/g1_c4ce9924-22f7-11ed-b24f-6dbe51e79fca_2094.html", "HTML")</f>
        <v/>
      </c>
      <c r="L131">
        <f>HYPERLINK("https://raw.githubusercontent.com/marcosmapl/dataset_imigrantes/main/noticias_filtered/g1/haitianos/2022/05_jun/txt/g1_c4ce9924-22f7-11ed-b24f-6dbe51e79fca_2094.txt", "TXT")</f>
        <v/>
      </c>
    </row>
    <row r="132">
      <c r="A132" s="1" t="n">
        <v>130</v>
      </c>
      <c r="B132" t="n">
        <v>2022</v>
      </c>
      <c r="C132" s="2" t="n">
        <v>44740.74666332176</v>
      </c>
      <c r="D132" t="inlineStr">
        <is>
          <t>G1</t>
        </is>
      </c>
      <c r="E132" t="inlineStr">
        <is>
          <t>VENEZUELANOS</t>
        </is>
      </c>
      <c r="F132" t="inlineStr">
        <is>
          <t>RORAIMA</t>
        </is>
      </c>
      <c r="G132" t="inlineStr">
        <is>
          <t>G1 RR — BOA VISTA</t>
        </is>
      </c>
      <c r="H132" t="inlineStr">
        <is>
          <t>MULHER ASSASSINADA A TIROS E ENCONTRADA AMORDAÇADA EM BOA VISTA ERA VENEZUELANA</t>
        </is>
      </c>
      <c r="I132" t="inlineStr">
        <is>
          <t>VÍTIMA FOI IDENTIFICADA E SE CHAMAVA GENÊSIS YULEYSIS RONDON COVA, DE 27 ANOS. IML AINDA AGUARDA COMPARECIMENTO DOS FAMILIARES PARA LIBERAÇÃO DO CORPO.</t>
        </is>
      </c>
      <c r="J132">
        <f>HYPERLINK("https://g1.globo.com/rr/roraima/noticia/2022/06/28/corpo-de-mulher-encontrada-assassinada-a-tiros-e-amordacada-na-br-174-e-identificado.ghtml", "URL")</f>
        <v/>
      </c>
      <c r="K132">
        <f>HYPERLINK("https://raw.githubusercontent.com/marcosmapl/dataset_imigrantes/main/noticias_filtered/g1/venezuelanos/2022/05_jun/html/g1_a81c70d2-230e-11ed-b24f-6dbe51e79fca_2749.html", "HTML")</f>
        <v/>
      </c>
      <c r="L132">
        <f>HYPERLINK("https://raw.githubusercontent.com/marcosmapl/dataset_imigrantes/main/noticias_filtered/g1/venezuelanos/2022/05_jun/txt/g1_a81c70d2-230e-11ed-b24f-6dbe51e79fca_2749.txt", "TXT")</f>
        <v/>
      </c>
    </row>
    <row r="133">
      <c r="A133" s="1" t="n">
        <v>131</v>
      </c>
      <c r="B133" t="n">
        <v>2022</v>
      </c>
      <c r="C133" s="2" t="n">
        <v>44739.66063994213</v>
      </c>
      <c r="D133" t="inlineStr">
        <is>
          <t>G1</t>
        </is>
      </c>
      <c r="E133" t="inlineStr">
        <is>
          <t>VENEZUELANOS</t>
        </is>
      </c>
      <c r="F133" t="inlineStr">
        <is>
          <t>BAURU E MARÍLIA</t>
        </is>
      </c>
      <c r="G133" t="inlineStr">
        <is>
          <t>G1 BAURU E MARÍLIA</t>
        </is>
      </c>
      <c r="H133" t="inlineStr">
        <is>
          <t>VENEZUELANOS SÃO RESGATADOS DE TRABALHO ANÁLOGO AO DE ESCRAVO NO INTERIOR DE SP</t>
        </is>
      </c>
      <c r="I133" t="inlineStr">
        <is>
          <t>SEGUNDO O MPT, ESTRANGEIROS NÃO RECEBIAM REMUNERAÇÃO PARA TRABALHAR NA COLHEITA DE LARANJA E TIVERAM DOCUMENTOS RETIDOS PELO AGENCIADOR EM FAZENDA DE CAFELÂNDIA (SP). ACORDO COM CONTRATANTES PREVÊ PAGAMENTO DE VERBAS TRABALHISTA E INDENIZAÇÃO DE R$ 5 MIL.</t>
        </is>
      </c>
      <c r="J133">
        <f>HYPERLINK("https://g1.globo.com/sp/bauru-marilia/noticia/2022/06/27/venezuelanos-sao-resgatados-de-trabalho-analogo-ao-de-escravo-no-interior-de-sp.ghtml", "URL")</f>
        <v/>
      </c>
      <c r="K133">
        <f>HYPERLINK("https://raw.githubusercontent.com/marcosmapl/dataset_imigrantes/main/noticias_filtered/g1/venezuelanos/2022/05_jun/html/g1_b4dcec66-2322-11ed-b24f-6dbe51e79fca_3768.html", "HTML")</f>
        <v/>
      </c>
      <c r="L133">
        <f>HYPERLINK("https://raw.githubusercontent.com/marcosmapl/dataset_imigrantes/main/noticias_filtered/g1/venezuelanos/2022/05_jun/txt/g1_b4dcec66-2322-11ed-b24f-6dbe51e79fca_3768.txt", "TXT")</f>
        <v/>
      </c>
    </row>
    <row r="134">
      <c r="A134" s="1" t="n">
        <v>132</v>
      </c>
      <c r="B134" t="n">
        <v>2022</v>
      </c>
      <c r="C134" s="2" t="n">
        <v>44737.73645833333</v>
      </c>
      <c r="D134" t="inlineStr">
        <is>
          <t>A CRITICA</t>
        </is>
      </c>
      <c r="E134" t="inlineStr">
        <is>
          <t>VENEZUELANOS</t>
        </is>
      </c>
      <c r="F134" t="inlineStr">
        <is>
          <t>POLICIA</t>
        </is>
      </c>
      <c r="G134" t="inlineStr">
        <is>
          <t>NATASHA PINTO</t>
        </is>
      </c>
      <c r="H134" t="inlineStr">
        <is>
          <t>HOMEM É PRESO ACUSADO DE ALICIAR OS NETOS DE 3 E 5 ANOS</t>
        </is>
      </c>
      <c r="I134" t="inlineStr">
        <is>
          <t>PRISÃO POR FLAGRANTE ACONTECEU APÓS TESTEMUNHAS RELATAREM QUE O HOMEM DE 52 ANOS FAZIA AS CRIANÇAS SENTAREM NO COLO DELE E SE ESFREGAR NELAS. CASO ACONTECEU NA COMPENSA</t>
        </is>
      </c>
      <c r="J134">
        <f>HYPERLINK("https://www.acritica.com/policia/homem-e-preso-acusado-de-aliciar-os-netos-de-3-e-5-anos-1.274127", "URL")</f>
        <v/>
      </c>
      <c r="K134">
        <f>HYPERLINK("https://raw.githubusercontent.com/marcosmapl/dataset_imigrantes/main/noticias_filtered/a_critica/venezuelanos/2022/05_jun/html/1.274127_1339.html", "HTML")</f>
        <v/>
      </c>
      <c r="L134">
        <f>HYPERLINK("https://raw.githubusercontent.com/marcosmapl/dataset_imigrantes/main/noticias_filtered/a_critica/venezuelanos/2022/05_jun/txt/1.274127_1339.txt", "TXT")</f>
        <v/>
      </c>
    </row>
    <row r="135">
      <c r="A135" s="1" t="n">
        <v>133</v>
      </c>
      <c r="B135" t="n">
        <v>2022</v>
      </c>
      <c r="C135" s="2" t="n">
        <v>44737.46971350694</v>
      </c>
      <c r="D135" t="inlineStr">
        <is>
          <t>G1</t>
        </is>
      </c>
      <c r="E135" t="inlineStr">
        <is>
          <t>AMBOS</t>
        </is>
      </c>
      <c r="F135" t="inlineStr">
        <is>
          <t>DISTRITO FEDERAL</t>
        </is>
      </c>
      <c r="G135" t="inlineStr">
        <is>
          <t>CAROLINE CINTRA, G1 DF</t>
        </is>
      </c>
      <c r="H135" t="inlineStr">
        <is>
          <t>DIA DO IMIGRANTE: 'ME SINTO EM CASA, FORA DE CASA', DIZ CAMARONÊS QUE MORA HÁ 13 ANOS NO DF</t>
        </is>
      </c>
      <c r="I135" t="inlineStr">
        <is>
          <t>DATA É CELEBRADA NESTE SÁBADO (25). G1 CONTA HISTÓRIA DE PESSOAS QUE SAÍRAM DA TERRA NATAL PARA TENTAR VIDA NA CAPITAL DO BRASIL.</t>
        </is>
      </c>
      <c r="J135">
        <f>HYPERLINK("https://g1.globo.com/df/distrito-federal/noticia/2022/06/25/dia-do-imigrante-me-sinto-em-casa-fora-de-casa-diz-camarones-que-mora-ha-13-anos-no-df.ghtml", "URL")</f>
        <v/>
      </c>
      <c r="K135">
        <f>HYPERLINK("https://raw.githubusercontent.com/marcosmapl/dataset_imigrantes/main/noticias_filtered/g1/ambos/2022/05_jun/html/g1_f9c6de16-22ed-11ed-b24f-6dbe51e79fca_1694.html", "HTML")</f>
        <v/>
      </c>
      <c r="L135">
        <f>HYPERLINK("https://raw.githubusercontent.com/marcosmapl/dataset_imigrantes/main/noticias_filtered/g1/ambos/2022/05_jun/txt/g1_f9c6de16-22ed-11ed-b24f-6dbe51e79fca_1694.txt", "TXT")</f>
        <v/>
      </c>
    </row>
    <row r="136">
      <c r="A136" s="1" t="n">
        <v>134</v>
      </c>
      <c r="B136" t="n">
        <v>2022</v>
      </c>
      <c r="C136" s="2" t="n">
        <v>44736.79674627315</v>
      </c>
      <c r="D136" t="inlineStr">
        <is>
          <t>G1</t>
        </is>
      </c>
      <c r="E136" t="inlineStr">
        <is>
          <t>HAITIANOS</t>
        </is>
      </c>
      <c r="F136" t="inlineStr">
        <is>
          <t>SANTA CATARINA</t>
        </is>
      </c>
      <c r="G136" t="inlineStr">
        <is>
          <t>SOFIA MAYER E TALITA CATIE, G1 SC E NSC</t>
        </is>
      </c>
      <c r="H136" t="inlineStr">
        <is>
          <t>HOMEM É PRESO POR ESPANCAR COMPANHEIRA COM FIO DE ENERGIA ELÉTRICA E SOCOS EM SC</t>
        </is>
      </c>
      <c r="I136" t="inlineStr">
        <is>
          <t>SEGUNDO A PM, HOMEM TAMBÉM DEU UMA FACADA NAS COSTAS DA VÍTIMA, DE 40 ANOS, EM POMERODE.</t>
        </is>
      </c>
      <c r="J136">
        <f>HYPERLINK("https://g1.globo.com/sc/santa-catarina/noticia/2022/06/24/homem-e-preso-por-espancar-companheira-com-fio-de-energia-eletrica-e-socos-em-sc.ghtml", "URL")</f>
        <v/>
      </c>
      <c r="K136">
        <f>HYPERLINK("https://raw.githubusercontent.com/marcosmapl/dataset_imigrantes/main/noticias_filtered/g1/haitianos/2022/05_jun/html/g1_5db6ad70-232a-11ed-b24f-6dbe51e79fca_4174.html", "HTML")</f>
        <v/>
      </c>
      <c r="L136">
        <f>HYPERLINK("https://raw.githubusercontent.com/marcosmapl/dataset_imigrantes/main/noticias_filtered/g1/haitianos/2022/05_jun/txt/g1_5db6ad70-232a-11ed-b24f-6dbe51e79fca_4174.txt", "TXT")</f>
        <v/>
      </c>
    </row>
    <row r="137">
      <c r="A137" s="1" t="n">
        <v>135</v>
      </c>
      <c r="B137" t="n">
        <v>2022</v>
      </c>
      <c r="C137" s="2" t="n">
        <v>44736.53657453704</v>
      </c>
      <c r="D137" t="inlineStr">
        <is>
          <t>G1</t>
        </is>
      </c>
      <c r="E137" t="inlineStr">
        <is>
          <t>HAITIANOS</t>
        </is>
      </c>
      <c r="F137" t="inlineStr">
        <is>
          <t>SANTA CATARINA</t>
        </is>
      </c>
      <c r="G137" t="inlineStr">
        <is>
          <t>CAROLINE BORGES, G1 SC</t>
        </is>
      </c>
      <c r="H137" t="inlineStr">
        <is>
          <t>RAIO CAUSA INCÊNDIO AO ATINGIR TETO DE CASA EM SC, DIZEM BOMBEIROS</t>
        </is>
      </c>
      <c r="I137" t="inlineStr">
        <is>
          <t>RAIO ATINGIU UMA CASA E PROVOCOU UM INÍCIO DE INCÊNDIO NA NOITE DE QUINTA-FEIRA EM URUBICI, NA SERRA.</t>
        </is>
      </c>
      <c r="J137">
        <f>HYPERLINK("https://g1.globo.com/sc/santa-catarina/noticia/2022/06/24/morador-apaga-incendio-com-balde-de-agua-apos-raio-atingir-teto-de-casa-em-sc-dizem-bombeiros.ghtml", "URL")</f>
        <v/>
      </c>
      <c r="K137">
        <f>HYPERLINK("https://raw.githubusercontent.com/marcosmapl/dataset_imigrantes/main/noticias_filtered/g1/haitianos/2022/05_jun/html/g1_65d77a16-231b-11ed-b24f-6dbe51e79fca_3384.html", "HTML")</f>
        <v/>
      </c>
      <c r="L137">
        <f>HYPERLINK("https://raw.githubusercontent.com/marcosmapl/dataset_imigrantes/main/noticias_filtered/g1/haitianos/2022/05_jun/txt/g1_65d77a16-231b-11ed-b24f-6dbe51e79fca_3384.txt", "TXT")</f>
        <v/>
      </c>
    </row>
    <row r="138">
      <c r="A138" s="1" t="n">
        <v>136</v>
      </c>
      <c r="B138" t="n">
        <v>2022</v>
      </c>
      <c r="C138" s="2" t="n">
        <v>44736.37779586806</v>
      </c>
      <c r="D138" t="inlineStr">
        <is>
          <t>G1</t>
        </is>
      </c>
      <c r="E138" t="inlineStr">
        <is>
          <t>HAITIANOS</t>
        </is>
      </c>
      <c r="F138" t="inlineStr">
        <is>
          <t>SANTA CATARINA</t>
        </is>
      </c>
      <c r="G138" t="inlineStr">
        <is>
          <t>SOFIA MAYER, G1 SC</t>
        </is>
      </c>
      <c r="H138" t="inlineStr">
        <is>
          <t>VÍDEO: HAITIANA VÍTIMA DE AGRESSÃO É ATENDIDA COM TRADUÇÃO EM FRANCÊS POR POLÍCIA DE BLUMENAU</t>
        </is>
      </c>
      <c r="I138" t="inlineStr">
        <is>
          <t>VÍTIMA DE 33 ANOS RELATOU QUE FOI AGREDIDA A FACADAS PELO EX-COMPANHEIRO. MULHER RECEBEU UMA MEDIDA PROTETIVA CONTRA O SUSPEITO.</t>
        </is>
      </c>
      <c r="J138">
        <f>HYPERLINK("https://g1.globo.com/sc/santa-catarina/noticia/2022/06/24/video-haitiana-vitima-de-agressao-e-atendida-com-traducao-em-frances-por-policia-de-blumenau.ghtml", "URL")</f>
        <v/>
      </c>
      <c r="K138">
        <f>HYPERLINK("https://raw.githubusercontent.com/marcosmapl/dataset_imigrantes/main/noticias_filtered/g1/haitianos/2022/05_jun/html/g1_4ce87974-22f8-11ed-b24f-6dbe51e79fca_2127.html", "HTML")</f>
        <v/>
      </c>
      <c r="L138">
        <f>HYPERLINK("https://raw.githubusercontent.com/marcosmapl/dataset_imigrantes/main/noticias_filtered/g1/haitianos/2022/05_jun/txt/g1_4ce87974-22f8-11ed-b24f-6dbe51e79fca_2127.txt", "TXT")</f>
        <v/>
      </c>
    </row>
    <row r="139">
      <c r="A139" s="1" t="n">
        <v>137</v>
      </c>
      <c r="B139" t="n">
        <v>2022</v>
      </c>
      <c r="C139" s="2" t="n">
        <v>44735.88842112268</v>
      </c>
      <c r="D139" t="inlineStr">
        <is>
          <t>G1</t>
        </is>
      </c>
      <c r="E139" t="inlineStr">
        <is>
          <t>VENEZUELANOS</t>
        </is>
      </c>
      <c r="F139" t="inlineStr">
        <is>
          <t>ALAGOAS</t>
        </is>
      </c>
      <c r="G139" t="inlineStr">
        <is>
          <t>G1 AL</t>
        </is>
      </c>
      <c r="H139" t="inlineStr">
        <is>
          <t>MACEIÓ TEM R$ 722 MIL PARADOS POR FALTA DE PLANO PARA INDÍGENAS VENEZUELANOS REFUGIADOS</t>
        </is>
      </c>
      <c r="I139" t="inlineStr">
        <is>
          <t>RECURSOS DEVEM SER UTILIZADOS EM AÇÕES DE ACOLHIMENTO. MPF DEU PRAZO DE 40 DIAS PARA QUE O DOCUMENTO SEJA ELABORADO, EVITANDO QUE DINHEIRO SEJA DEVOLVIDO. IMIGRANTES PEDEM COMIDA NAS RUAS DA CAPITAL.</t>
        </is>
      </c>
      <c r="J139">
        <f>HYPERLINK("https://g1.globo.com/al/alagoas/noticia/2022/06/23/maceio-tem-r-722-mil-parados-por-falta-de-plano-para-indigenas-venezuelanos-refugiados.ghtml", "URL")</f>
        <v/>
      </c>
      <c r="K139">
        <f>HYPERLINK("https://raw.githubusercontent.com/marcosmapl/dataset_imigrantes/main/noticias_filtered/g1/venezuelanos/2022/05_jun/html/g1_1e1d640a-230d-11ed-b24f-6dbe51e79fca_2667.html", "HTML")</f>
        <v/>
      </c>
      <c r="L139">
        <f>HYPERLINK("https://raw.githubusercontent.com/marcosmapl/dataset_imigrantes/main/noticias_filtered/g1/venezuelanos/2022/05_jun/txt/g1_1e1d640a-230d-11ed-b24f-6dbe51e79fca_2667.txt", "TXT")</f>
        <v/>
      </c>
    </row>
    <row r="140">
      <c r="A140" s="1" t="n">
        <v>138</v>
      </c>
      <c r="B140" t="n">
        <v>2022</v>
      </c>
      <c r="C140" s="2" t="n">
        <v>44735.84112961806</v>
      </c>
      <c r="D140" t="inlineStr">
        <is>
          <t>G1</t>
        </is>
      </c>
      <c r="E140" t="inlineStr">
        <is>
          <t>VENEZUELANOS</t>
        </is>
      </c>
      <c r="F140" t="inlineStr">
        <is>
          <t>SANTARÉM E REGIÃO</t>
        </is>
      </c>
      <c r="G140" t="inlineStr">
        <is>
          <t>G1 SANTARÉM E REGIÃO — PA</t>
        </is>
      </c>
      <c r="H140" t="inlineStr">
        <is>
          <t>IDOSOS VENEZUELANOS DA ETNIA WARAO QUE CONVIVEM NA CAAF, VISITAM O PARQUE DA CIDADE EM SANTARÉM</t>
        </is>
      </c>
      <c r="I140" t="inlineStr">
        <is>
          <t>ATIVIDADE É ALUSIVA AO 'JUNHO VIOLETA' E OCORREU NA MANHÃ DESTA QUINTA-FEIRA (23).</t>
        </is>
      </c>
      <c r="J140">
        <f>HYPERLINK("https://g1.globo.com/pa/santarem-regiao/noticia/2022/06/23/idosos-venezuelanos-da-etnia-warao-que-convivem-na-caaf-visitam-o-parque-da-cidade-em-santarem.ghtml", "URL")</f>
        <v/>
      </c>
      <c r="K140">
        <f>HYPERLINK("https://raw.githubusercontent.com/marcosmapl/dataset_imigrantes/main/noticias_filtered/g1/venezuelanos/2022/05_jun/html/g1_f37782d0-231b-11ed-b24f-6dbe51e79fca_3418.html", "HTML")</f>
        <v/>
      </c>
      <c r="L140">
        <f>HYPERLINK("https://raw.githubusercontent.com/marcosmapl/dataset_imigrantes/main/noticias_filtered/g1/venezuelanos/2022/05_jun/txt/g1_f37782d0-231b-11ed-b24f-6dbe51e79fca_3418.txt", "TXT")</f>
        <v/>
      </c>
    </row>
    <row r="141">
      <c r="A141" s="1" t="n">
        <v>139</v>
      </c>
      <c r="B141" t="n">
        <v>2022</v>
      </c>
      <c r="C141" s="2" t="n">
        <v>44735.73671296296</v>
      </c>
      <c r="D141" t="inlineStr">
        <is>
          <t>A CRITICA</t>
        </is>
      </c>
      <c r="E141" t="inlineStr">
        <is>
          <t>VENEZUELANOS</t>
        </is>
      </c>
      <c r="F141" t="inlineStr">
        <is>
          <t>POLICIA</t>
        </is>
      </c>
      <c r="G141" t="inlineStr">
        <is>
          <t>NATASHA PINTO</t>
        </is>
      </c>
      <c r="H141" t="inlineStr">
        <is>
          <t>ENQUANTO SEGURAVA O FILHO NO COLO, HOMEM É EXECUTADO A TIROS NO BAIRRO CENTRO</t>
        </is>
      </c>
      <c r="I141" t="inlineStr">
        <is>
          <t>A COMPANHEIRA DA VÍTIMA DISSE A POLICIAIS MILITARES DA 24ª CICOM QUE O SUSPEITO DE TER MATADO MÁRCIO SARDINHA É UM HOMEM VENEZUELANO IDENTIFICADO APENAS COMO "CATIRE"</t>
        </is>
      </c>
      <c r="J141">
        <f>HYPERLINK("https://www.acritica.com/policia/enquanto-segurava-o-filho-no-colo-homem-e-executado-a-tiros-no-bairro-centro-1.273797", "URL")</f>
        <v/>
      </c>
      <c r="K141">
        <f>HYPERLINK("https://raw.githubusercontent.com/marcosmapl/dataset_imigrantes/main/noticias_filtered/a_critica/venezuelanos/2022/05_jun/html/1.273797_1079.html", "HTML")</f>
        <v/>
      </c>
      <c r="L141">
        <f>HYPERLINK("https://raw.githubusercontent.com/marcosmapl/dataset_imigrantes/main/noticias_filtered/a_critica/venezuelanos/2022/05_jun/txt/1.273797_1079.txt", "TXT")</f>
        <v/>
      </c>
    </row>
    <row r="142">
      <c r="A142" s="1" t="n">
        <v>140</v>
      </c>
      <c r="B142" t="n">
        <v>2022</v>
      </c>
      <c r="C142" s="2" t="n">
        <v>44734.80375850695</v>
      </c>
      <c r="D142" t="inlineStr">
        <is>
          <t>G1</t>
        </is>
      </c>
      <c r="E142" t="inlineStr">
        <is>
          <t>VENEZUELANOS</t>
        </is>
      </c>
      <c r="F142" t="inlineStr">
        <is>
          <t>MUNDO</t>
        </is>
      </c>
      <c r="G142" t="inlineStr">
        <is>
          <t>G1</t>
        </is>
      </c>
      <c r="H142" t="inlineStr">
        <is>
          <t>PRESIDENTE ELEITO DA COLÔMBIA, PETRO PROMETE FRONTEIRA ABERTA COM VENEZUELA; VEJA O QUE ESPERAR DAS RELAÇÕES DOS DOIS PAÍSES</t>
        </is>
      </c>
      <c r="I142" t="inlineStr">
        <is>
          <t>EXPECTATIVA É DE RETOMADA DE RELAÇÕES AGORA QUE COLOMBIANOS ELEGERAM UM GOVERNO DE ESQUERDA. ESPECIALISTAS, NO ENTANTO, QUE NÃO SE PODE ESPERAR ALINHAMENTO AUTOMÁTICO DE PETRO COM MADURO.</t>
        </is>
      </c>
      <c r="J142">
        <f>HYPERLINK("https://g1.globo.com/mundo/noticia/2022/06/22/presidente-eleito-da-colombia-petro-promete-fronteira-aberta-com-venezuela-veja-o-que-esperar-das-relacoes-dos-dois-paises.ghtml", "URL")</f>
        <v/>
      </c>
      <c r="K142">
        <f>HYPERLINK("https://raw.githubusercontent.com/marcosmapl/dataset_imigrantes/main/noticias_filtered/g1/venezuelanos/2022/05_jun/html/g1_59106f46-231a-11ed-b24f-6dbe51e79fca_3330.html", "HTML")</f>
        <v/>
      </c>
      <c r="L142">
        <f>HYPERLINK("https://raw.githubusercontent.com/marcosmapl/dataset_imigrantes/main/noticias_filtered/g1/venezuelanos/2022/05_jun/txt/g1_59106f46-231a-11ed-b24f-6dbe51e79fca_3330.txt", "TXT")</f>
        <v/>
      </c>
    </row>
    <row r="143">
      <c r="A143" s="1" t="n">
        <v>141</v>
      </c>
      <c r="B143" t="n">
        <v>2022</v>
      </c>
      <c r="C143" s="2" t="n">
        <v>44734.04295708334</v>
      </c>
      <c r="D143" t="inlineStr">
        <is>
          <t>G1</t>
        </is>
      </c>
      <c r="E143" t="inlineStr">
        <is>
          <t>HAITIANOS</t>
        </is>
      </c>
      <c r="F143" t="inlineStr">
        <is>
          <t>PARANÁ</t>
        </is>
      </c>
      <c r="G143" t="inlineStr">
        <is>
          <t>G1 PR — CURITIBA</t>
        </is>
      </c>
      <c r="H143" t="inlineStr">
        <is>
          <t>RESUMO DO DIA: PARANÁ, TERÇA-FEIRA, 21 DE JUNHO DE 2022</t>
        </is>
      </c>
      <c r="I143" t="inlineStr">
        <is>
          <t>BOA NOITE! AQUI ESTÃO AS PRINCIPAIS NOTÍCIAS DO ESTADO PARA VOCÊ TERMINAR O DIA BEM-INFORMADO.</t>
        </is>
      </c>
      <c r="J143">
        <f>HYPERLINK("https://g1.globo.com/pr/parana/noticia/2022/06/21/resumo-do-dia-parana-terca-feira-21-de-junho-de-2022.ghtml", "URL")</f>
        <v/>
      </c>
      <c r="K143">
        <f>HYPERLINK("https://raw.githubusercontent.com/marcosmapl/dataset_imigrantes/main/noticias_filtered/g1/haitianos/2022/05_jun/html/g1_a89a30f0-22ee-11ed-b24f-6dbe51e79fca_1707.html", "HTML")</f>
        <v/>
      </c>
      <c r="L143">
        <f>HYPERLINK("https://raw.githubusercontent.com/marcosmapl/dataset_imigrantes/main/noticias_filtered/g1/haitianos/2022/05_jun/txt/g1_a89a30f0-22ee-11ed-b24f-6dbe51e79fca_1707.txt", "TXT")</f>
        <v/>
      </c>
    </row>
    <row r="144">
      <c r="A144" s="1" t="n">
        <v>142</v>
      </c>
      <c r="B144" t="n">
        <v>2022</v>
      </c>
      <c r="C144" s="2" t="n">
        <v>44733.6188332176</v>
      </c>
      <c r="D144" t="inlineStr">
        <is>
          <t>G1</t>
        </is>
      </c>
      <c r="E144" t="inlineStr">
        <is>
          <t>HAITIANOS</t>
        </is>
      </c>
      <c r="F144" t="inlineStr">
        <is>
          <t>OESTE E SUDOESTE</t>
        </is>
      </c>
      <c r="G144" t="inlineStr">
        <is>
          <t>RPC CASCAVEL</t>
        </is>
      </c>
      <c r="H144" t="inlineStr">
        <is>
          <t>'IA CASAR DOMINGO', DIZ AMIGA DE JOVEM QUE FOI ATROPELADA COM A FILHA EM CASCAVEL AO TENTAR ATRAVESSAR RUA</t>
        </is>
      </c>
      <c r="I144" t="inlineStr">
        <is>
          <t>MÃE E FILHA, QUE SÃO HAITIANAS, PERMANECEM EM ESTADO GRAVE, INTERNADAS NO HU. ATROPELAMENTO FOI NA SEGUNDA (20). MOTORISTA INFORMOU QUE PERDEU O CONTROLE DO VEÍCULO. POLÍCIA INVESTIGA O CASO.</t>
        </is>
      </c>
      <c r="J144">
        <f>HYPERLINK("https://g1.globo.com/pr/oeste-sudoeste/noticia/2022/06/21/ia-casar-domingo-diz-amiga-de-jovem-que-foi-atropelada-com-a-filha-em-cascavel-ao-tentar-atravessar-rua.ghtml", "URL")</f>
        <v/>
      </c>
      <c r="K144">
        <f>HYPERLINK("https://raw.githubusercontent.com/marcosmapl/dataset_imigrantes/main/noticias_filtered/g1/haitianos/2022/05_jun/html/g1_68d5472c-2319-11ed-b24f-6dbe51e79fca_3315.html", "HTML")</f>
        <v/>
      </c>
      <c r="L144">
        <f>HYPERLINK("https://raw.githubusercontent.com/marcosmapl/dataset_imigrantes/main/noticias_filtered/g1/haitianos/2022/05_jun/txt/g1_68d5472c-2319-11ed-b24f-6dbe51e79fca_3315.txt", "TXT")</f>
        <v/>
      </c>
    </row>
    <row r="145">
      <c r="A145" s="1" t="n">
        <v>143</v>
      </c>
      <c r="B145" t="n">
        <v>2022</v>
      </c>
      <c r="C145" s="2" t="n">
        <v>44732.86325231481</v>
      </c>
      <c r="D145" t="inlineStr">
        <is>
          <t>A CRITICA</t>
        </is>
      </c>
      <c r="E145" t="inlineStr">
        <is>
          <t>VENEZUELANOS</t>
        </is>
      </c>
      <c r="F145" t="inlineStr"/>
      <c r="G145" t="inlineStr">
        <is>
          <t>AGÊNCIA BRASIL</t>
        </is>
      </c>
      <c r="H145" t="inlineStr">
        <is>
          <t>VENEZUELANOS REPRESENTARAM MAIORIA DE PEDIDOS DE REFÚGIO EM 2021 NO BRASIL</t>
        </is>
      </c>
      <c r="I145" t="inlineStr">
        <is>
          <t>DE ACORDO COM O LEVANTAMENTO DIVULGADO, O BRASIL FECHOU O ANO DE 2021 COM 60 MIL REFUGIADOS</t>
        </is>
      </c>
      <c r="J145">
        <f>HYPERLINK("https://www.acritica.com/venezuelanos-representaram-maioria-de-pedidos-de-refugio-em-2021-no-brasil-1.273395", "URL")</f>
        <v/>
      </c>
      <c r="K145">
        <f>HYPERLINK("https://raw.githubusercontent.com/marcosmapl/dataset_imigrantes/main/noticias_filtered/a_critica/venezuelanos/2022/05_jun/html/1.273395_731.html", "HTML")</f>
        <v/>
      </c>
      <c r="L145">
        <f>HYPERLINK("https://raw.githubusercontent.com/marcosmapl/dataset_imigrantes/main/noticias_filtered/a_critica/venezuelanos/2022/05_jun/txt/1.273395_731.txt", "TXT")</f>
        <v/>
      </c>
    </row>
    <row r="146">
      <c r="A146" s="1" t="n">
        <v>144</v>
      </c>
      <c r="B146" t="n">
        <v>2022</v>
      </c>
      <c r="C146" s="2" t="n">
        <v>44730.44664733797</v>
      </c>
      <c r="D146" t="inlineStr">
        <is>
          <t>G1</t>
        </is>
      </c>
      <c r="E146" t="inlineStr">
        <is>
          <t>HAITIANOS</t>
        </is>
      </c>
      <c r="F146" t="inlineStr">
        <is>
          <t>MUNDO</t>
        </is>
      </c>
      <c r="G146" t="inlineStr">
        <is>
          <t>FRANCE PRESSE</t>
        </is>
      </c>
      <c r="H146" t="inlineStr">
        <is>
          <t>UNICEF ALERTA PARA AUMENTO 'MACIÇO' DE CRIANÇAS MIGRANTES EM SELVA PANAMENHA</t>
        </is>
      </c>
      <c r="I146" t="inlineStr">
        <is>
          <t>DURANTE O TRAJETO EM MEIO À DENSA FLORESTA, OS MIGRANTES, EM SUA MAIORIA HAITIANOS E CUBANOS, ENFRENTAM RIOS CAUDALOSOS, ANIMAIS SELVAGENS E QUADRILHAS DE CRIMINOSOS.</t>
        </is>
      </c>
      <c r="J146">
        <f>HYPERLINK("https://g1.globo.com/mundo/noticia/2022/06/18/unicef-alerta-para-aumento-macico-de-criancas-migrantes-em-selva-panamenha.ghtml", "URL")</f>
        <v/>
      </c>
      <c r="K146">
        <f>HYPERLINK("https://raw.githubusercontent.com/marcosmapl/dataset_imigrantes/main/noticias_filtered/g1/haitianos/2022/05_jun/html/g1_a354bf9c-22f9-11ed-b24f-6dbe51e79fca_2175.html", "HTML")</f>
        <v/>
      </c>
      <c r="L146">
        <f>HYPERLINK("https://raw.githubusercontent.com/marcosmapl/dataset_imigrantes/main/noticias_filtered/g1/haitianos/2022/05_jun/txt/g1_a354bf9c-22f9-11ed-b24f-6dbe51e79fca_2175.txt", "TXT")</f>
        <v/>
      </c>
    </row>
    <row r="147">
      <c r="A147" s="1" t="n">
        <v>145</v>
      </c>
      <c r="B147" t="n">
        <v>2022</v>
      </c>
      <c r="C147" s="2" t="n">
        <v>44729.98758866898</v>
      </c>
      <c r="D147" t="inlineStr">
        <is>
          <t>G1</t>
        </is>
      </c>
      <c r="E147" t="inlineStr">
        <is>
          <t>VENEZUELANOS</t>
        </is>
      </c>
      <c r="F147" t="inlineStr">
        <is>
          <t>MUNDO</t>
        </is>
      </c>
      <c r="G147" t="inlineStr">
        <is>
          <t>FRANCE PRESSE</t>
        </is>
      </c>
      <c r="H147" t="inlineStr">
        <is>
          <t>PARAGUAI DIZ QUE TRIPULANTE DE AVIÃO RETIDO NA ARGENTINA FAZ PARTE DA GUARDA REVOLUCIONÁRIA IRANIANA</t>
        </is>
      </c>
      <c r="I147" t="inlineStr">
        <is>
          <t>A AL-QUDS, FORÇA DE ELITE DOS GUARDIÕES DA REVOLUÇÃO DO IRÃ, É CLASSIFICADA COMO ORGANIZAÇÃO TERRORISTA PELOS ESTADO UNIDOS. BOEING 747 DE CARGA ESTÁ DETIDO EM BUENOS AIRES HÁ UMA SEMANA SOB INVESTIGAÇÃO, ASSIM COMO SUA TRIPULAÇÃO COMPOSTA POR 14 VENEZUELANOS E CINCO IRANIANOS.</t>
        </is>
      </c>
      <c r="J147">
        <f>HYPERLINK("https://g1.globo.com/mundo/noticia/2022/06/17/paraguai-diz-que-tripulante-de-aviao-retido-na-argentina-faz-parte-da-guarda-revolucionaria-iraniana.ghtml", "URL")</f>
        <v/>
      </c>
      <c r="K147">
        <f>HYPERLINK("https://raw.githubusercontent.com/marcosmapl/dataset_imigrantes/main/noticias_filtered/g1/venezuelanos/2022/05_jun/html/g1_984faacc-232a-11ed-b24f-6dbe51e79fca_4189.html", "HTML")</f>
        <v/>
      </c>
      <c r="L147">
        <f>HYPERLINK("https://raw.githubusercontent.com/marcosmapl/dataset_imigrantes/main/noticias_filtered/g1/venezuelanos/2022/05_jun/txt/g1_984faacc-232a-11ed-b24f-6dbe51e79fca_4189.txt", "TXT")</f>
        <v/>
      </c>
    </row>
    <row r="148">
      <c r="A148" s="1" t="n">
        <v>146</v>
      </c>
      <c r="B148" t="n">
        <v>2022</v>
      </c>
      <c r="C148" s="2" t="n">
        <v>44729.88041613426</v>
      </c>
      <c r="D148" t="inlineStr">
        <is>
          <t>G1</t>
        </is>
      </c>
      <c r="E148" t="inlineStr">
        <is>
          <t>VENEZUELANOS</t>
        </is>
      </c>
      <c r="F148" t="inlineStr">
        <is>
          <t>RORAIMA</t>
        </is>
      </c>
      <c r="G148" t="inlineStr">
        <is>
          <t>G1 RR — BOA VISTA</t>
        </is>
      </c>
      <c r="H148" t="inlineStr">
        <is>
          <t>VENEZUELANO RECEBE VIA PIX VALOR DE DÍVIDA TRABALHISTA EM AUDIÊNCIA DE CONCILIAÇÃO EM RORAIMA</t>
        </is>
      </c>
      <c r="I148" t="inlineStr">
        <is>
          <t>JUIZ DA 3ª VARA DO TRABALHO DE BOA VISTA, RAIMUNDO PAULINO CAVALCANTE FILHO, HOMOLOGOU ACORDO PARA QUITAÇÃO DA DÍVIDA E EMPRESÁRIA FEZ PIX AINDA NA SALA DE AUDIÊNCIA.</t>
        </is>
      </c>
      <c r="J148">
        <f>HYPERLINK("https://g1.globo.com/rr/roraima/noticia/2022/06/17/venezuelano-recebe-via-pix-valor-de-divida-trabalhista-em-audiencia-de-conciliacao-em-roraima.ghtml", "URL")</f>
        <v/>
      </c>
      <c r="K148">
        <f>HYPERLINK("https://raw.githubusercontent.com/marcosmapl/dataset_imigrantes/main/noticias_filtered/g1/venezuelanos/2022/05_jun/html/g1_8522d0e0-231c-11ed-b24f-6dbe51e79fca_3449.html", "HTML")</f>
        <v/>
      </c>
      <c r="L148">
        <f>HYPERLINK("https://raw.githubusercontent.com/marcosmapl/dataset_imigrantes/main/noticias_filtered/g1/venezuelanos/2022/05_jun/txt/g1_8522d0e0-231c-11ed-b24f-6dbe51e79fca_3449.txt", "TXT")</f>
        <v/>
      </c>
    </row>
    <row r="149">
      <c r="A149" s="1" t="n">
        <v>147</v>
      </c>
      <c r="B149" t="n">
        <v>2022</v>
      </c>
      <c r="C149" s="2" t="n">
        <v>44729.75890145834</v>
      </c>
      <c r="D149" t="inlineStr">
        <is>
          <t>G1</t>
        </is>
      </c>
      <c r="E149" t="inlineStr">
        <is>
          <t>HAITIANOS</t>
        </is>
      </c>
      <c r="F149" t="inlineStr">
        <is>
          <t>PARÁ</t>
        </is>
      </c>
      <c r="G149" t="inlineStr">
        <is>
          <t>G1 PARÁ E TV LIBERAL — BELÉM</t>
        </is>
      </c>
      <c r="H149" t="inlineStr">
        <is>
          <t>INTERCAMBISTA HAITIANO MORRE EM CACHOEIRA NO PARÁ</t>
        </is>
      </c>
      <c r="I149" t="inlineStr">
        <is>
          <t>ESTUDANTE DE PÓS GRADUAÇÃO DESPARECEU EM CACHOEIRA DURANTE PASSEIO COM AMIGOS, SEGUNDO UNIVERSIDADE. CORPO FOI ENCONTRADO SUBMERSO POR COLEGAS E LAUDO DEVE APONTAR CAUSA DA MORTE.</t>
        </is>
      </c>
      <c r="J149">
        <f>HYPERLINK("https://g1.globo.com/pa/para/noticia/2022/06/17/intercambista-haitiano-morre-em-cachoeira-no-para.ghtml", "URL")</f>
        <v/>
      </c>
      <c r="K149">
        <f>HYPERLINK("https://raw.githubusercontent.com/marcosmapl/dataset_imigrantes/main/noticias_filtered/g1/haitianos/2022/05_jun/html/g1_9a123728-22f6-11ed-b24f-6dbe51e79fca_2023.html", "HTML")</f>
        <v/>
      </c>
      <c r="L149">
        <f>HYPERLINK("https://raw.githubusercontent.com/marcosmapl/dataset_imigrantes/main/noticias_filtered/g1/haitianos/2022/05_jun/txt/g1_9a123728-22f6-11ed-b24f-6dbe51e79fca_2023.txt", "TXT")</f>
        <v/>
      </c>
    </row>
    <row r="150">
      <c r="A150" s="1" t="n">
        <v>148</v>
      </c>
      <c r="B150" t="n">
        <v>2022</v>
      </c>
      <c r="C150" s="2" t="n">
        <v>44728.94718892361</v>
      </c>
      <c r="D150" t="inlineStr">
        <is>
          <t>G1</t>
        </is>
      </c>
      <c r="E150" t="inlineStr">
        <is>
          <t>VENEZUELANOS</t>
        </is>
      </c>
      <c r="F150" t="inlineStr">
        <is>
          <t>BAHIA</t>
        </is>
      </c>
      <c r="G150" t="inlineStr">
        <is>
          <t>G1 BA</t>
        </is>
      </c>
      <c r="H150" t="inlineStr">
        <is>
          <t>MAPEAMENTO DA PREFEITURA DE LAURO DE FREITAS IDENTIFICA 300 PERUANOS E VENEZUELANOS ENTRE REFUGIADOS E MIGRANTES NA CIDADE</t>
        </is>
      </c>
      <c r="I150" t="inlineStr">
        <is>
          <t>MUNICÍPIO FOI RECONHECIDO PELA ORGANIZAÇÃO DAS NAÇÕES UNIDAS (ONU) COMO 'CIDADE SOLIDÁRIA'.</t>
        </is>
      </c>
      <c r="J150">
        <f>HYPERLINK("https://g1.globo.com/ba/bahia/noticia/2022/06/16/mapeamento-da-prefeitura-de-lauro-de-freitas-identifica-300-peruanos-e-venezuelanos-entre-refugiados-e-migrantes-na-cidade.ghtml", "URL")</f>
        <v/>
      </c>
      <c r="K150">
        <f>HYPERLINK("https://raw.githubusercontent.com/marcosmapl/dataset_imigrantes/main/noticias_filtered/g1/venezuelanos/2022/05_jun/html/g1_eb60cca4-2321-11ed-b24f-6dbe51e79fca_3724.html", "HTML")</f>
        <v/>
      </c>
      <c r="L150">
        <f>HYPERLINK("https://raw.githubusercontent.com/marcosmapl/dataset_imigrantes/main/noticias_filtered/g1/venezuelanos/2022/05_jun/txt/g1_eb60cca4-2321-11ed-b24f-6dbe51e79fca_3724.txt", "TXT")</f>
        <v/>
      </c>
    </row>
    <row r="151">
      <c r="A151" s="1" t="n">
        <v>149</v>
      </c>
      <c r="B151" t="n">
        <v>2022</v>
      </c>
      <c r="C151" s="2" t="n">
        <v>44726.87044978009</v>
      </c>
      <c r="D151" t="inlineStr">
        <is>
          <t>G1</t>
        </is>
      </c>
      <c r="E151" t="inlineStr">
        <is>
          <t>VENEZUELANOS</t>
        </is>
      </c>
      <c r="F151" t="inlineStr">
        <is>
          <t>MUNDO</t>
        </is>
      </c>
      <c r="G151" t="inlineStr">
        <is>
          <t>FRANCE PRESSE</t>
        </is>
      </c>
      <c r="H151" t="inlineStr">
        <is>
          <t>JUIZ PROÍBE TRIPULAÇÃO DE AVIÃO VENEZUELANO DE SAIR DA ARGENTINA</t>
        </is>
      </c>
      <c r="I151" t="inlineStr">
        <is>
          <t>O CASO ESTÁ SOB SEGREDO DE JUSTIÇA. HOUVE UMA OPERAÇÃO DE BUSCA E APREENSÃO NO HOTEL ONDE A TRIPULAÇÃO ESTÁ HOSPEDADA. SUSPEITA-SE QUE ELES FORAM PARA A ARGENTINA POR UM MOTIVO DIFERENTE DO APRESENTADO.</t>
        </is>
      </c>
      <c r="J151">
        <f>HYPERLINK("https://g1.globo.com/mundo/noticia/2022/06/14/juiz-proibe-tripulacao-de-aviao-venezuelano-de-sair-da-argentina.ghtml", "URL")</f>
        <v/>
      </c>
      <c r="K151">
        <f>HYPERLINK("https://raw.githubusercontent.com/marcosmapl/dataset_imigrantes/main/noticias_filtered/g1/venezuelanos/2022/05_jun/html/g1_37148978-2323-11ed-b24f-6dbe51e79fca_3792.html", "HTML")</f>
        <v/>
      </c>
      <c r="L151">
        <f>HYPERLINK("https://raw.githubusercontent.com/marcosmapl/dataset_imigrantes/main/noticias_filtered/g1/venezuelanos/2022/05_jun/txt/g1_37148978-2323-11ed-b24f-6dbe51e79fca_3792.txt", "TXT")</f>
        <v/>
      </c>
    </row>
    <row r="152">
      <c r="A152" s="1" t="n">
        <v>150</v>
      </c>
      <c r="B152" t="n">
        <v>2022</v>
      </c>
      <c r="C152" s="2" t="n">
        <v>44726.57265273148</v>
      </c>
      <c r="D152" t="inlineStr">
        <is>
          <t>G1</t>
        </is>
      </c>
      <c r="E152" t="inlineStr">
        <is>
          <t>VENEZUELANOS</t>
        </is>
      </c>
      <c r="F152" t="inlineStr">
        <is>
          <t>RIO GRANDE DO SUL</t>
        </is>
      </c>
      <c r="G152" t="inlineStr">
        <is>
          <t>JULIANA LISBOA, G1 RS</t>
        </is>
      </c>
      <c r="H152" t="inlineStr">
        <is>
          <t>DOCUMENTAÇÃO, LÍNGUA, EMPREGO, ABRIGO, FRIO: AS DIFICULDADES DOS MIGRANTES QUE CHEGAM AO RS</t>
        </is>
      </c>
      <c r="I152" t="inlineStr">
        <is>
          <t>DE ACORDO COM A POLÍCIA FEDERAL, SÃO CERCA DE 90 MIL IMIGRANTES REGISTRADOS NO ESTADO. CONFORME O MINISTÉRIO DA CIDADANIA, DE ABRIL DE 2018 ATÉ MARÇO DE 2022, 72,6 MIL VENEZUELANOS PARTICIPARAM DA ESTRATÉGIA DE INTERIORIZAÇÃO. O RIO GRANDE DO SUL RECEBEU 10,5 MIL  NESTE PERÍODO.</t>
        </is>
      </c>
      <c r="J152">
        <f>HYPERLINK("https://g1.globo.com/rs/rio-grande-do-sul/noticia/2022/06/14/documentacao-lingua-emprego-abrigo-frio-as-dificuldades-dos-migrantes-que-chegam-ao-rs.ghtml", "URL")</f>
        <v/>
      </c>
      <c r="K152">
        <f>HYPERLINK("https://raw.githubusercontent.com/marcosmapl/dataset_imigrantes/main/noticias_filtered/g1/venezuelanos/2022/05_jun/html/g1_dccd1b56-2322-11ed-b24f-6dbe51e79fca_3776.html", "HTML")</f>
        <v/>
      </c>
      <c r="L152">
        <f>HYPERLINK("https://raw.githubusercontent.com/marcosmapl/dataset_imigrantes/main/noticias_filtered/g1/venezuelanos/2022/05_jun/txt/g1_dccd1b56-2322-11ed-b24f-6dbe51e79fca_3776.txt", "TXT")</f>
        <v/>
      </c>
    </row>
    <row r="153">
      <c r="A153" s="1" t="n">
        <v>151</v>
      </c>
      <c r="B153" t="n">
        <v>2022</v>
      </c>
      <c r="C153" s="2" t="n">
        <v>44723.80251954861</v>
      </c>
      <c r="D153" t="inlineStr">
        <is>
          <t>G1</t>
        </is>
      </c>
      <c r="E153" t="inlineStr">
        <is>
          <t>VENEZUELANOS</t>
        </is>
      </c>
      <c r="F153" t="inlineStr">
        <is>
          <t>MUNDO</t>
        </is>
      </c>
      <c r="G153" t="inlineStr">
        <is>
          <t>RFI</t>
        </is>
      </c>
      <c r="H153" t="inlineStr">
        <is>
          <t>'AMIZADE INDESTRUTÍVEL': IRÃ E VENEZUELA ASSINAM ACORDO DE COOPERAÇÃO DE 20 ANOS</t>
        </is>
      </c>
      <c r="I153" t="inlineStr">
        <is>
          <t>O COMPROMISSO, SOBRE O QUAL POUCOS DETALHES FORAM REVELADOS, FOI FIRMADO DURANTE UMA VISITA DO PRESIDENTE VENEZUELANO, NICOLÁS MADURO, A TEERÃ.</t>
        </is>
      </c>
      <c r="J153">
        <f>HYPERLINK("https://g1.globo.com/mundo/noticia/2022/06/11/amizade-indestrutivel-ira-e-venezuela-assinam-acordo-de-cooperacao-de-20-anos.ghtml", "URL")</f>
        <v/>
      </c>
      <c r="K153">
        <f>HYPERLINK("https://raw.githubusercontent.com/marcosmapl/dataset_imigrantes/main/noticias_filtered/g1/venezuelanos/2022/05_jun/html/g1_9c8a5772-2311-11ed-b24f-6dbe51e79fca_2925.html", "HTML")</f>
        <v/>
      </c>
      <c r="L153">
        <f>HYPERLINK("https://raw.githubusercontent.com/marcosmapl/dataset_imigrantes/main/noticias_filtered/g1/venezuelanos/2022/05_jun/txt/g1_9c8a5772-2311-11ed-b24f-6dbe51e79fca_2925.txt", "TXT")</f>
        <v/>
      </c>
    </row>
    <row r="154">
      <c r="A154" s="1" t="n">
        <v>152</v>
      </c>
      <c r="B154" t="n">
        <v>2022</v>
      </c>
      <c r="C154" s="2" t="n">
        <v>44723.62726525463</v>
      </c>
      <c r="D154" t="inlineStr">
        <is>
          <t>G1</t>
        </is>
      </c>
      <c r="E154" t="inlineStr">
        <is>
          <t>HAITIANOS</t>
        </is>
      </c>
      <c r="F154" t="inlineStr">
        <is>
          <t>RONDÔNIA</t>
        </is>
      </c>
      <c r="G154" t="inlineStr">
        <is>
          <t>G1 RO</t>
        </is>
      </c>
      <c r="H154" t="inlineStr">
        <is>
          <t>DOIS HOMENS SÃO CONDENADOS POR MORTE DE HAITIANO EM FEIRA DE PORTO VELHO</t>
        </is>
      </c>
      <c r="I154" t="inlineStr">
        <is>
          <t>UM DOS ACUSADOS TERIA ATIRADO NA VÍTIMA APÓS UMA DISCUSSÃO. O SEGUNDO HOMEM FOI CONDENADO POR TER AJUDADO NA FUGA DO ATIRADOR.</t>
        </is>
      </c>
      <c r="J154">
        <f>HYPERLINK("https://g1.globo.com/ro/rondonia/noticia/2022/06/11/dois-homens-sao-condenados-por-morte-de-haitiano-em-feira-de-porto-velho.ghtml", "URL")</f>
        <v/>
      </c>
      <c r="K154">
        <f>HYPERLINK("https://raw.githubusercontent.com/marcosmapl/dataset_imigrantes/main/noticias_filtered/g1/haitianos/2022/05_jun/html/g1_d44a91d6-22f8-11ed-b24f-6dbe51e79fca_2160.html", "HTML")</f>
        <v/>
      </c>
      <c r="L154">
        <f>HYPERLINK("https://raw.githubusercontent.com/marcosmapl/dataset_imigrantes/main/noticias_filtered/g1/haitianos/2022/05_jun/txt/g1_d44a91d6-22f8-11ed-b24f-6dbe51e79fca_2160.txt", "TXT")</f>
        <v/>
      </c>
    </row>
    <row r="155">
      <c r="A155" s="1" t="n">
        <v>153</v>
      </c>
      <c r="B155" t="n">
        <v>2022</v>
      </c>
      <c r="C155" s="2" t="n">
        <v>44722.81819444444</v>
      </c>
      <c r="D155" t="inlineStr">
        <is>
          <t>A CRITICA</t>
        </is>
      </c>
      <c r="E155" t="inlineStr">
        <is>
          <t>VENEZUELANOS</t>
        </is>
      </c>
      <c r="F155" t="inlineStr"/>
      <c r="G155" t="inlineStr">
        <is>
          <t>LANE AZEVEDO</t>
        </is>
      </c>
      <c r="H155" t="inlineStr">
        <is>
          <t>NA ESTREIA DO A2, IRANDUBA VISITA CEFAMA DO MARANHÃO PELO BRASILEIRÃO FEMININO</t>
        </is>
      </c>
      <c r="I155" t="inlineStr">
        <is>
          <t>O HULK DA AMAZÔNIA EMBARCOU COM 19 ATLETAS, PARA O DUELO DESTE SÁBADO (11) FORA DE CASA</t>
        </is>
      </c>
      <c r="J155">
        <f>HYPERLINK("https://www.acritica.com/na-estreia-do-a2-iranduba-visita-cefama-do-maranh-o-pelo-brasileir-o-feminino-1.272399", "URL")</f>
        <v/>
      </c>
      <c r="K155">
        <f>HYPERLINK("https://raw.githubusercontent.com/marcosmapl/dataset_imigrantes/main/noticias_filtered/a_critica/venezuelanos/2022/05_jun/html/1.272399_1071.html", "HTML")</f>
        <v/>
      </c>
      <c r="L155">
        <f>HYPERLINK("https://raw.githubusercontent.com/marcosmapl/dataset_imigrantes/main/noticias_filtered/a_critica/venezuelanos/2022/05_jun/txt/1.272399_1071.txt", "TXT")</f>
        <v/>
      </c>
    </row>
    <row r="156">
      <c r="A156" s="1" t="n">
        <v>154</v>
      </c>
      <c r="B156" t="n">
        <v>2022</v>
      </c>
      <c r="C156" s="2" t="n">
        <v>44720.99952016204</v>
      </c>
      <c r="D156" t="inlineStr">
        <is>
          <t>G1</t>
        </is>
      </c>
      <c r="E156" t="inlineStr">
        <is>
          <t>VENEZUELANOS</t>
        </is>
      </c>
      <c r="F156" t="inlineStr">
        <is>
          <t>MUNDO</t>
        </is>
      </c>
      <c r="G156" t="inlineStr">
        <is>
          <t>REUTERS</t>
        </is>
      </c>
      <c r="H156" t="inlineStr">
        <is>
          <t>A CAMINHO DE CÚPULA DAS AMÉRICAS, BIDEN CONVERSA POR TELEFONE COM LÍDER DA OPOSIÇÃO VENEZUELANA</t>
        </is>
      </c>
      <c r="I156" t="inlineStr">
        <is>
          <t>BIDEN REAFIRMOU QUE OS EUA ESTÃO DISPOSTOS A 'CALIBRAR A POLÍTICA DE SANÇÕES' CONTRA A VENEZUELA DE ACORDO COM O RESULTADO DAS CONVERSAÇÕES.</t>
        </is>
      </c>
      <c r="J156">
        <f>HYPERLINK("https://g1.globo.com/mundo/noticia/2022/06/08/a-caminho-de-cupula-das-americas-biden-conversa-por-telefone-com-lider-da-oposicao-venezuelana.ghtml", "URL")</f>
        <v/>
      </c>
      <c r="K156">
        <f>HYPERLINK("https://raw.githubusercontent.com/marcosmapl/dataset_imigrantes/main/noticias_filtered/g1/venezuelanos/2022/05_jun/html/g1_1cc330e4-2321-11ed-b24f-6dbe51e79fca_3680.html", "HTML")</f>
        <v/>
      </c>
      <c r="L156">
        <f>HYPERLINK("https://raw.githubusercontent.com/marcosmapl/dataset_imigrantes/main/noticias_filtered/g1/venezuelanos/2022/05_jun/txt/g1_1cc330e4-2321-11ed-b24f-6dbe51e79fca_3680.txt", "TXT")</f>
        <v/>
      </c>
    </row>
    <row r="157">
      <c r="A157" s="1" t="n">
        <v>155</v>
      </c>
      <c r="B157" t="n">
        <v>2022</v>
      </c>
      <c r="C157" s="2" t="n">
        <v>44718.59602083333</v>
      </c>
      <c r="D157" t="inlineStr">
        <is>
          <t>G1</t>
        </is>
      </c>
      <c r="E157" t="inlineStr">
        <is>
          <t>VENEZUELANOS</t>
        </is>
      </c>
      <c r="F157" t="inlineStr">
        <is>
          <t>MATO GROSSO</t>
        </is>
      </c>
      <c r="G157" t="inlineStr">
        <is>
          <t>JOÃO CARLOS MORANDI, TV CENTRO AMÉRICA</t>
        </is>
      </c>
      <c r="H157" t="inlineStr">
        <is>
          <t>POLÍCIA PROCURA POR SERVIDOR PÚBLICO SUSPEITO DE HOMICÍDIO CONTRA VENEZUELANO EM MT</t>
        </is>
      </c>
      <c r="I157" t="inlineStr">
        <is>
          <t>O MISSIONÁRIO VENEZUELANO YOMIL GEOMAR AGUILERA LEVOU UM TIRO NO PEITO E FOI ENCAMINHADO DO HOSPITAL REGIONAL DE SINOP.</t>
        </is>
      </c>
      <c r="J157">
        <f>HYPERLINK("https://g1.globo.com/mt/mato-grosso/noticia/2022/06/06/policia-procura-por-servidor-publico-suspeito-de-homicidio-contra-venezuelano-em-mt.ghtml", "URL")</f>
        <v/>
      </c>
      <c r="K157">
        <f>HYPERLINK("https://raw.githubusercontent.com/marcosmapl/dataset_imigrantes/main/noticias_filtered/g1/venezuelanos/2022/05_jun/html/g1_5b877586-230a-11ed-b24f-6dbe51e79fca_2500.html", "HTML")</f>
        <v/>
      </c>
      <c r="L157">
        <f>HYPERLINK("https://raw.githubusercontent.com/marcosmapl/dataset_imigrantes/main/noticias_filtered/g1/venezuelanos/2022/05_jun/txt/g1_5b877586-230a-11ed-b24f-6dbe51e79fca_2500.txt", "TXT")</f>
        <v/>
      </c>
    </row>
    <row r="158">
      <c r="A158" s="1" t="n">
        <v>156</v>
      </c>
      <c r="B158" t="n">
        <v>2022</v>
      </c>
      <c r="C158" s="2" t="n">
        <v>44715.5659375</v>
      </c>
      <c r="D158" t="inlineStr">
        <is>
          <t>A CRITICA</t>
        </is>
      </c>
      <c r="E158" t="inlineStr">
        <is>
          <t>VENEZUELANOS</t>
        </is>
      </c>
      <c r="F158" t="inlineStr">
        <is>
          <t>POLICIA</t>
        </is>
      </c>
      <c r="G158" t="inlineStr">
        <is>
          <t>JOANA QUEIROZ</t>
        </is>
      </c>
      <c r="H158" t="inlineStr">
        <is>
          <t>SUSPEITO DE ASSALTO É MORTO A TIROS UMA SEMANA APÓS SER PRESO POR FURTO</t>
        </is>
      </c>
      <c r="I158" t="inlineStr">
        <is>
          <t>O VEÍCULO ENTROU NA ÁREA DOS CICLISTAS DA PRAÇA E UM DOS SUSPEITOS DESCEU ATIRANDO TRÊS VEZES CONTRA A VÍTIMA. O HOMEM MORREU NO LOCAL.</t>
        </is>
      </c>
      <c r="J158">
        <f>HYPERLINK("https://www.acritica.com/policia/suspeito-de-assalto-e-morto-a-tiros-uma-semana-apos-ser-preso-por-furto-1.271692", "URL")</f>
        <v/>
      </c>
      <c r="K158">
        <f>HYPERLINK("https://raw.githubusercontent.com/marcosmapl/dataset_imigrantes/main/noticias_filtered/a_critica/venezuelanos/2022/05_jun/html/1.271692_138.html", "HTML")</f>
        <v/>
      </c>
      <c r="L158">
        <f>HYPERLINK("https://raw.githubusercontent.com/marcosmapl/dataset_imigrantes/main/noticias_filtered/a_critica/venezuelanos/2022/05_jun/txt/1.271692_138.txt", "TXT")</f>
        <v/>
      </c>
    </row>
    <row r="159">
      <c r="A159" s="1" t="n">
        <v>157</v>
      </c>
      <c r="B159" t="n">
        <v>2022</v>
      </c>
      <c r="C159" s="2" t="n">
        <v>44714.50106481482</v>
      </c>
      <c r="D159" t="inlineStr">
        <is>
          <t>A CRITICA</t>
        </is>
      </c>
      <c r="E159" t="inlineStr">
        <is>
          <t>VENEZUELANOS</t>
        </is>
      </c>
      <c r="F159" t="inlineStr"/>
      <c r="G159" t="inlineStr">
        <is>
          <t>DANIEL PRESTES</t>
        </is>
      </c>
      <c r="H159" t="inlineStr">
        <is>
          <t>ATLETA VENEZUELANO RECEBE PRÊMIO DE MELHOR GOLEIRO DO NORTE E NORDESTE DE POLO AQUÁTICO</t>
        </is>
      </c>
      <c r="I159" t="inlineStr">
        <is>
          <t>KEVIN ROJAS GOMEZ AJUDOU A EQUIPE DO CLUBE AMAZONENSE DE POLO AQUÁTICO A TERMINAR ETAPA REGIONAL DE FORMA INVICTA</t>
        </is>
      </c>
      <c r="J159">
        <f>HYPERLINK("https://www.acritica.com/atleta-venezuelano-recebe-premio-de-melhor-goleiro-do-norte-e-nordeste-de-polo-aquatico-1.271592", "URL")</f>
        <v/>
      </c>
      <c r="K159">
        <f>HYPERLINK("https://raw.githubusercontent.com/marcosmapl/dataset_imigrantes/main/noticias_filtered/a_critica/venezuelanos/2022/05_jun/html/1.271592_635.html", "HTML")</f>
        <v/>
      </c>
      <c r="L159">
        <f>HYPERLINK("https://raw.githubusercontent.com/marcosmapl/dataset_imigrantes/main/noticias_filtered/a_critica/venezuelanos/2022/05_jun/txt/1.271592_635.txt", "TXT")</f>
        <v/>
      </c>
    </row>
    <row r="160">
      <c r="A160" s="1" t="n">
        <v>158</v>
      </c>
      <c r="B160" t="n">
        <v>2022</v>
      </c>
      <c r="C160" s="2" t="n">
        <v>44713.94923203703</v>
      </c>
      <c r="D160" t="inlineStr">
        <is>
          <t>G1</t>
        </is>
      </c>
      <c r="E160" t="inlineStr">
        <is>
          <t>VENEZUELANOS</t>
        </is>
      </c>
      <c r="F160" t="inlineStr">
        <is>
          <t>VALE DO PARAÍBA E REGIÃO</t>
        </is>
      </c>
      <c r="G160" t="inlineStr">
        <is>
          <t>G1 VALE DO PARAÍBA E REGIÃO</t>
        </is>
      </c>
      <c r="H160" t="inlineStr">
        <is>
          <t>HOMEM É PRESO COM 11 TIJOLOS DE MACONHA E 81 MIL BOLIVARES VENEZUELANOS EM GUARATINGUETÁ</t>
        </is>
      </c>
      <c r="I160" t="inlineStr">
        <is>
          <t>DE ACORDO COM A POLÍCIA, ELES IAM A UMA CASA PARA CUMPRIR UM MANDADO DE PRISÃO QUANDO VIRAM O HOMEM CORRENDO DO IMÓVEL. ELE ESTAVA COM UMA BOLSA E FOI PARADO PELOS POLICIAIS.</t>
        </is>
      </c>
      <c r="J160">
        <f>HYPERLINK("https://g1.globo.com/sp/vale-do-paraiba-regiao/noticia/2022/06/01/homem-e-preso-com-11-tijolos-de-maconha-e-81-mil-bolivares-venezuelanos-em-guaratingueta.ghtml", "URL")</f>
        <v/>
      </c>
      <c r="K160">
        <f>HYPERLINK("https://raw.githubusercontent.com/marcosmapl/dataset_imigrantes/main/noticias_filtered/g1/venezuelanos/2022/05_jun/html/g1_416f905c-232d-11ed-b24f-6dbe51e79fca_4348.html", "HTML")</f>
        <v/>
      </c>
      <c r="L160">
        <f>HYPERLINK("https://raw.githubusercontent.com/marcosmapl/dataset_imigrantes/main/noticias_filtered/g1/venezuelanos/2022/05_jun/txt/g1_416f905c-232d-11ed-b24f-6dbe51e79fca_4348.txt", "TXT")</f>
        <v/>
      </c>
    </row>
    <row r="161">
      <c r="A161" s="1" t="n">
        <v>159</v>
      </c>
      <c r="B161" t="n">
        <v>2022</v>
      </c>
      <c r="C161" s="2" t="n">
        <v>44713.34749766203</v>
      </c>
      <c r="D161" t="inlineStr">
        <is>
          <t>G1</t>
        </is>
      </c>
      <c r="E161" t="inlineStr">
        <is>
          <t>VENEZUELANOS</t>
        </is>
      </c>
      <c r="F161" t="inlineStr">
        <is>
          <t>SANTA CATARINA</t>
        </is>
      </c>
      <c r="G161" t="inlineStr">
        <is>
          <t>SOFIA MAYER, G1 SC</t>
        </is>
      </c>
      <c r="H161" t="inlineStr">
        <is>
          <t>ESCOLA DE SC PASSA A CANTAR HINO DA VENEZUELA PARA VALORIZAR IMIGRANTES: 'TROCA DE RESPEITO, DISCIPLINA E AMOR'</t>
        </is>
      </c>
      <c r="I161" t="inlineStr">
        <is>
          <t>SEGUNDO A PREFEITURA, 34 ESTUDANTES VENEZUELANOS ESTÃO MATRICULADOS NA ESCOLA MUNICIPAL SANTO ANDRÉ, EM CAPIVARI DE BAIXO.</t>
        </is>
      </c>
      <c r="J161">
        <f>HYPERLINK("https://g1.globo.com/sc/santa-catarina/noticia/2022/06/01/escola-de-sc-passa-a-cantar-hino-da-venezuela-para-valorizar-imigrantes-troca-de-respeito-disciplina-e-amor.ghtml", "URL")</f>
        <v/>
      </c>
      <c r="K161">
        <f>HYPERLINK("https://raw.githubusercontent.com/marcosmapl/dataset_imigrantes/main/noticias_filtered/g1/venezuelanos/2022/05_jun/html/g1_fdca7338-2315-11ed-b24f-6dbe51e79fca_3119.html", "HTML")</f>
        <v/>
      </c>
      <c r="L161">
        <f>HYPERLINK("https://raw.githubusercontent.com/marcosmapl/dataset_imigrantes/main/noticias_filtered/g1/venezuelanos/2022/05_jun/txt/g1_fdca7338-2315-11ed-b24f-6dbe51e79fca_3119.txt", "TXT")</f>
        <v/>
      </c>
    </row>
    <row r="162">
      <c r="A162" s="1" t="n">
        <v>160</v>
      </c>
      <c r="B162" t="n">
        <v>2022</v>
      </c>
      <c r="C162" s="2" t="n">
        <v>44710.88717074074</v>
      </c>
      <c r="D162" t="inlineStr">
        <is>
          <t>G1</t>
        </is>
      </c>
      <c r="E162" t="inlineStr">
        <is>
          <t>VENEZUELANOS</t>
        </is>
      </c>
      <c r="F162" t="inlineStr">
        <is>
          <t>PARÁ</t>
        </is>
      </c>
      <c r="G162" t="inlineStr">
        <is>
          <t>G1 PARÁ — BALÉM</t>
        </is>
      </c>
      <c r="H162" t="inlineStr">
        <is>
          <t>HOMEM DE NACIONALIDADE ESTRANGEIRA É PRESO EM FLAGRANTE NO DISTRITO DE ICOARACI, EM BELÉM</t>
        </is>
      </c>
      <c r="I162" t="inlineStr">
        <is>
          <t>SUSPEITO, DE ORIGEM VENEZUELANA, TERIA FURTADO OBJETOS DE ESTABELECIMENTOS COMERCIAIS.</t>
        </is>
      </c>
      <c r="J162">
        <f>HYPERLINK("https://g1.globo.com/pa/para/noticia/2022/05/29/homem-de-nacionalidade-estrangeira-e-preso-em-flagrante-no-distrito-de-icoaraci-em-belem.ghtml", "URL")</f>
        <v/>
      </c>
      <c r="K162">
        <f>HYPERLINK("https://raw.githubusercontent.com/marcosmapl/dataset_imigrantes/main/noticias_filtered/g1/venezuelanos/2022/04_mai/html/g1_3e539eec-231c-11ed-b24f-6dbe51e79fca_3435.html", "HTML")</f>
        <v/>
      </c>
      <c r="L162">
        <f>HYPERLINK("https://raw.githubusercontent.com/marcosmapl/dataset_imigrantes/main/noticias_filtered/g1/venezuelanos/2022/04_mai/txt/g1_3e539eec-231c-11ed-b24f-6dbe51e79fca_3435.txt", "TXT")</f>
        <v/>
      </c>
    </row>
    <row r="163">
      <c r="A163" s="1" t="n">
        <v>161</v>
      </c>
      <c r="B163" t="n">
        <v>2022</v>
      </c>
      <c r="C163" s="2" t="n">
        <v>44709.35614583334</v>
      </c>
      <c r="D163" t="inlineStr">
        <is>
          <t>A CRITICA</t>
        </is>
      </c>
      <c r="E163" t="inlineStr">
        <is>
          <t>VENEZUELANOS</t>
        </is>
      </c>
      <c r="F163" t="inlineStr">
        <is>
          <t>MANAUS</t>
        </is>
      </c>
      <c r="G163" t="inlineStr">
        <is>
          <t>WALDICK JÚNIOR</t>
        </is>
      </c>
      <c r="H163" t="inlineStr">
        <is>
          <t>MAIS DA METADE DOS VENEZUELANOS EM MANAUS NÃO CONHECE AS LEIS TRABALHISTAS</t>
        </is>
      </c>
      <c r="I163" t="inlineStr">
        <is>
          <t>PESQUISA REALIZADA PELA ACNUR E OUTRAS ENTIDADES FEZ O PERFIL SOCIOECONÔMICO DESSES REFUGIADOS</t>
        </is>
      </c>
      <c r="J163">
        <f>HYPERLINK("https://www.acritica.com/manaus/mais-da-metade-dos-venezuelanos-em-manaus-n-o-conhece-as-leis-trabalhistas-1.271097", "URL")</f>
        <v/>
      </c>
      <c r="K163">
        <f>HYPERLINK("https://raw.githubusercontent.com/marcosmapl/dataset_imigrantes/main/noticias_filtered/a_critica/venezuelanos/2022/04_mai/html/1.271097_1028.html", "HTML")</f>
        <v/>
      </c>
      <c r="L163">
        <f>HYPERLINK("https://raw.githubusercontent.com/marcosmapl/dataset_imigrantes/main/noticias_filtered/a_critica/venezuelanos/2022/04_mai/txt/1.271097_1028.txt", "TXT")</f>
        <v/>
      </c>
    </row>
    <row r="164">
      <c r="A164" s="1" t="n">
        <v>162</v>
      </c>
      <c r="B164" t="n">
        <v>2022</v>
      </c>
      <c r="C164" s="2" t="n">
        <v>44708.60038325231</v>
      </c>
      <c r="D164" t="inlineStr">
        <is>
          <t>G1</t>
        </is>
      </c>
      <c r="E164" t="inlineStr">
        <is>
          <t>HAITIANOS</t>
        </is>
      </c>
      <c r="F164" t="inlineStr">
        <is>
          <t>PARANÁ</t>
        </is>
      </c>
      <c r="G164" t="inlineStr">
        <is>
          <t>G1 PR E RPC CURITIBA</t>
        </is>
      </c>
      <c r="H164" t="inlineStr">
        <is>
          <t>HOMEM É PRESO SUSPEITO DE SER UM DOS MANDANTES DO ASSASSINATO DE HAITIANO BALEADO APÓS CONVIDAR MULHER PARA DANÇAR, EM CURITIBA</t>
        </is>
      </c>
      <c r="I164" t="inlineStr">
        <is>
          <t>CRIME OCORREU NO BAIRRO ALTO BOQUEIRÃO, EM FEVEREIRO; UMA MULHER JÁ HAVIA SIDO PRESA SUSPEITA DE TAMBÉM SER MANDANTE DO CRIME, E UM ADOLESCENTE SUSPEITO DE ATIRAR NA VÍTIMA FOI APREENDIDO.</t>
        </is>
      </c>
      <c r="J164">
        <f>HYPERLINK("https://g1.globo.com/pr/parana/noticia/2022/05/27/homem-e-preso-suspeito-de-ser-um-dos-mandantes-do-assassinato-de-haitiano-baleado-apos-convidar-mulher-para-dancar-em-curitiba.ghtml", "URL")</f>
        <v/>
      </c>
      <c r="K164">
        <f>HYPERLINK("https://raw.githubusercontent.com/marcosmapl/dataset_imigrantes/main/noticias_filtered/g1/haitianos/2022/04_mai/html/g1_202f23d0-22f6-11ed-b24f-6dbe51e79fca_1994.html", "HTML")</f>
        <v/>
      </c>
      <c r="L164">
        <f>HYPERLINK("https://raw.githubusercontent.com/marcosmapl/dataset_imigrantes/main/noticias_filtered/g1/haitianos/2022/04_mai/txt/g1_202f23d0-22f6-11ed-b24f-6dbe51e79fca_1994.txt", "TXT")</f>
        <v/>
      </c>
    </row>
    <row r="165">
      <c r="A165" s="1" t="n">
        <v>163</v>
      </c>
      <c r="B165" t="n">
        <v>2022</v>
      </c>
      <c r="C165" s="2" t="n">
        <v>44707.53805868055</v>
      </c>
      <c r="D165" t="inlineStr">
        <is>
          <t>G1</t>
        </is>
      </c>
      <c r="E165" t="inlineStr">
        <is>
          <t>VENEZUELANOS</t>
        </is>
      </c>
      <c r="F165" t="inlineStr">
        <is>
          <t>NORTE E NOROESTE</t>
        </is>
      </c>
      <c r="G165" t="inlineStr">
        <is>
          <t>RPC MARINGÁ</t>
        </is>
      </c>
      <c r="H165" t="inlineStr">
        <is>
          <t>CICLISTA MORRE E OUTRO FICA FERIDO EM ACIDENTE ENVOLVENDO ÔNIBUS, EM MARINGÁ</t>
        </is>
      </c>
      <c r="I165" t="inlineStr">
        <is>
          <t>ACIDENTE ACONTECEU NA AVENIDA TUIUTI, NO FIM DA TARDE DE QUARTA-FEIRA (25). VÍTIMAS SÃO VENEZUELANAS.</t>
        </is>
      </c>
      <c r="J165">
        <f>HYPERLINK("https://g1.globo.com/pr/norte-noroeste/noticia/2022/05/26/ciclista-morre-e-outro-fica-ferido-em-acidente-envolvendo-onibus-em-maringa.ghtml", "URL")</f>
        <v/>
      </c>
      <c r="K165">
        <f>HYPERLINK("https://raw.githubusercontent.com/marcosmapl/dataset_imigrantes/main/noticias_filtered/g1/venezuelanos/2022/04_mai/html/g1_a521fc1e-230c-11ed-b24f-6dbe51e79fca_2638.html", "HTML")</f>
        <v/>
      </c>
      <c r="L165">
        <f>HYPERLINK("https://raw.githubusercontent.com/marcosmapl/dataset_imigrantes/main/noticias_filtered/g1/venezuelanos/2022/04_mai/txt/g1_a521fc1e-230c-11ed-b24f-6dbe51e79fca_2638.txt", "TXT")</f>
        <v/>
      </c>
    </row>
    <row r="166">
      <c r="A166" s="1" t="n">
        <v>164</v>
      </c>
      <c r="B166" t="n">
        <v>2022</v>
      </c>
      <c r="C166" s="2" t="n">
        <v>44707.33571619213</v>
      </c>
      <c r="D166" t="inlineStr">
        <is>
          <t>G1</t>
        </is>
      </c>
      <c r="E166" t="inlineStr">
        <is>
          <t>VENEZUELANOS</t>
        </is>
      </c>
      <c r="F166" t="inlineStr">
        <is>
          <t>MUNDO</t>
        </is>
      </c>
      <c r="G166" t="inlineStr">
        <is>
          <t>REUTERS</t>
        </is>
      </c>
      <c r="H166" t="inlineStr">
        <is>
          <t>MAIS VELHO DO MUNDO, VENEZUELANO QUE TOMA AGUARDENTE TODOS OS DIAS COMPLETA 113 ANOS NA SEXTA-FEIRA</t>
        </is>
      </c>
      <c r="I166" t="inlineStr">
        <is>
          <t>MORA SE TORNOU A PESSOA MAIS VELHA DO MUNDO DEPOIS QUE SATURNINO DE LA FUENTE GARCIA, NASCIDO EM 11 DE FEVEREIRO DE 1909 NA ESPANHA, MORREU EM JANEIRO COM 112 ANOS E 341 DIAS.</t>
        </is>
      </c>
      <c r="J166">
        <f>HYPERLINK("https://g1.globo.com/mundo/noticia/2022/05/26/mais-velho-do-mundo-venezuelano-que-toma-aguardente-todos-os-dias-completa-113-anos-na-sexta-feira.ghtml", "URL")</f>
        <v/>
      </c>
      <c r="K166">
        <f>HYPERLINK("https://raw.githubusercontent.com/marcosmapl/dataset_imigrantes/main/noticias_filtered/g1/venezuelanos/2022/04_mai/html/g1_225f1b6e-230b-11ed-b24f-6dbe51e79fca_2546.html", "HTML")</f>
        <v/>
      </c>
      <c r="L166">
        <f>HYPERLINK("https://raw.githubusercontent.com/marcosmapl/dataset_imigrantes/main/noticias_filtered/g1/venezuelanos/2022/04_mai/txt/g1_225f1b6e-230b-11ed-b24f-6dbe51e79fca_2546.txt", "TXT")</f>
        <v/>
      </c>
    </row>
    <row r="167">
      <c r="A167" s="1" t="n">
        <v>165</v>
      </c>
      <c r="B167" t="n">
        <v>2022</v>
      </c>
      <c r="C167" s="2" t="n">
        <v>44706.96797275463</v>
      </c>
      <c r="D167" t="inlineStr">
        <is>
          <t>G1</t>
        </is>
      </c>
      <c r="E167" t="inlineStr">
        <is>
          <t>VENEZUELANOS</t>
        </is>
      </c>
      <c r="F167" t="inlineStr">
        <is>
          <t>ACRE</t>
        </is>
      </c>
      <c r="G167" t="inlineStr">
        <is>
          <t>G1 AC — RIO BRANCO</t>
        </is>
      </c>
      <c r="H167" t="inlineStr">
        <is>
          <t>VENEZUELANOS SÃO PRESOS COM MAIS DE 4KG DE COCAÍNA LÍQUIDA DENTRO DE PACOTES DE ÓLEO DE COCO NO AC</t>
        </is>
      </c>
      <c r="I167" t="inlineStr">
        <is>
          <t>DROGA FOI ACHADA EM BAGAGENS DENTRO DE ÔNIBUS QUE TINHA SAÍDO DA FRONTEIRA COM DESTINO À CAPITAL ACREANA, RIO BRANCO. FLAGRANTE OCORREU NESTA QUARTA-FEIRA (25) NA BR-317, EM SENADOR GUIOMARD.</t>
        </is>
      </c>
      <c r="J167">
        <f>HYPERLINK("https://g1.globo.com/ac/acre/noticia/2022/05/25/venezuelanos-sao-presos-com-mais-de-4kg-de-cocaina-liquida-dentro-de-pacotes-de-oleo-de-coco-no-ac.ghtml", "URL")</f>
        <v/>
      </c>
      <c r="K167">
        <f>HYPERLINK("https://raw.githubusercontent.com/marcosmapl/dataset_imigrantes/main/noticias_filtered/g1/venezuelanos/2022/04_mai/html/g1_f6577dec-2321-11ed-b24f-6dbe51e79fca_3727.html", "HTML")</f>
        <v/>
      </c>
      <c r="L167">
        <f>HYPERLINK("https://raw.githubusercontent.com/marcosmapl/dataset_imigrantes/main/noticias_filtered/g1/venezuelanos/2022/04_mai/txt/g1_f6577dec-2321-11ed-b24f-6dbe51e79fca_3727.txt", "TXT")</f>
        <v/>
      </c>
    </row>
    <row r="168">
      <c r="A168" s="1" t="n">
        <v>166</v>
      </c>
      <c r="B168" t="n">
        <v>2022</v>
      </c>
      <c r="C168" s="2" t="n">
        <v>44705.79832854166</v>
      </c>
      <c r="D168" t="inlineStr">
        <is>
          <t>G1</t>
        </is>
      </c>
      <c r="E168" t="inlineStr">
        <is>
          <t>VENEZUELANOS</t>
        </is>
      </c>
      <c r="F168" t="inlineStr">
        <is>
          <t>MATO GROSSO DO SUL</t>
        </is>
      </c>
      <c r="G168" t="inlineStr">
        <is>
          <t>DÉBORA RICALDE E GESSE LÓPEZ, G1 MS E TV MORENA</t>
        </is>
      </c>
      <c r="H168" t="inlineStr">
        <is>
          <t>DOIS VENEZUELANOS MORREM AO TER MOTO ATINGIDA POR CAMINHONETE NO INTERIOR DE MS; VÍDEO MOSTRA O ACIDENTE</t>
        </is>
      </c>
      <c r="I168" t="inlineStr">
        <is>
          <t>ACIDENTE OCORREU NA MANHÃ DESTA TERÇA-FEIRA (24), NA PRINCIPAL AVENIDA DE DOURADOS. UMA DAS VÍTIMAS MORREU NO LOCAL DA COLISÃO. A OUTRA CHEGOU A SER SOCORRIDA E LEVADA PARA UM HOSPITAL, MAS NÃO RESISTIU.</t>
        </is>
      </c>
      <c r="J168">
        <f>HYPERLINK("https://g1.globo.com/ms/mato-grosso-do-sul/noticia/2022/05/24/dois-venezuelanos-morrem-ao-ter-moto-atingida-por-caminhonete-no-interior-de-ms-video-mostra-o-acidente.ghtml", "URL")</f>
        <v/>
      </c>
      <c r="K168">
        <f>HYPERLINK("https://raw.githubusercontent.com/marcosmapl/dataset_imigrantes/main/noticias_filtered/g1/venezuelanos/2022/04_mai/html/g1_2d54addc-230f-11ed-b24f-6dbe51e79fca_2782.html", "HTML")</f>
        <v/>
      </c>
      <c r="L168">
        <f>HYPERLINK("https://raw.githubusercontent.com/marcosmapl/dataset_imigrantes/main/noticias_filtered/g1/venezuelanos/2022/04_mai/txt/g1_2d54addc-230f-11ed-b24f-6dbe51e79fca_2782.txt", "TXT")</f>
        <v/>
      </c>
    </row>
    <row r="169">
      <c r="A169" s="1" t="n">
        <v>167</v>
      </c>
      <c r="B169" t="n">
        <v>2022</v>
      </c>
      <c r="C169" s="2" t="n">
        <v>44704.64953447917</v>
      </c>
      <c r="D169" t="inlineStr">
        <is>
          <t>G1</t>
        </is>
      </c>
      <c r="E169" t="inlineStr">
        <is>
          <t>VENEZUELANOS</t>
        </is>
      </c>
      <c r="F169" t="inlineStr">
        <is>
          <t>PARAÍBA</t>
        </is>
      </c>
      <c r="G169" t="inlineStr">
        <is>
          <t>G1 PB</t>
        </is>
      </c>
      <c r="H169" t="inlineStr">
        <is>
          <t>SUSPEITO DE MATAR JOVEM VENEZUELANO É PRESO, EM JOÃO PESSOA</t>
        </is>
      </c>
      <c r="I169" t="inlineStr">
        <is>
          <t>O SUSPEITO RESISTIU À PRISÃO, INCLUSIVE ATIRANDO CONTRA A EQUIPE. ELE FOI CAPTURADO E ATENDIDO NO HOSPITAL DE EMERGÊNCIA E TRAUMA DE JOÃO PESSOA, DEPOIS FOI INTERROGADO E ENCAMINHADO À CARCERAGEM.</t>
        </is>
      </c>
      <c r="J169">
        <f>HYPERLINK("https://g1.globo.com/pb/paraiba/noticia/2022/05/23/suspeito-de-matar-jovem-venezuelano-e-preso-em-joao-pessoa.ghtml", "URL")</f>
        <v/>
      </c>
      <c r="K169">
        <f>HYPERLINK("https://raw.githubusercontent.com/marcosmapl/dataset_imigrantes/main/noticias_filtered/g1/venezuelanos/2022/04_mai/html/g1_e7807f00-231f-11ed-b24f-6dbe51e79fca_3651.html", "HTML")</f>
        <v/>
      </c>
      <c r="L169">
        <f>HYPERLINK("https://raw.githubusercontent.com/marcosmapl/dataset_imigrantes/main/noticias_filtered/g1/venezuelanos/2022/04_mai/txt/g1_e7807f00-231f-11ed-b24f-6dbe51e79fca_3651.txt", "TXT")</f>
        <v/>
      </c>
    </row>
    <row r="170">
      <c r="A170" s="1" t="n">
        <v>168</v>
      </c>
      <c r="B170" t="n">
        <v>2022</v>
      </c>
      <c r="C170" s="2" t="n">
        <v>44703.44092019676</v>
      </c>
      <c r="D170" t="inlineStr">
        <is>
          <t>G1</t>
        </is>
      </c>
      <c r="E170" t="inlineStr">
        <is>
          <t>HAITIANOS</t>
        </is>
      </c>
      <c r="F170" t="inlineStr">
        <is>
          <t>MUNDO</t>
        </is>
      </c>
      <c r="G170" t="inlineStr">
        <is>
          <t>DEUTSCHE WELLE</t>
        </is>
      </c>
      <c r="H170" t="inlineStr">
        <is>
          <t>QUEM É KARINE JEAN-PIERRE, A PRIMEIRA PORTA-VOZ NEGRA E LGBTQ+ DA CASA BRANCA</t>
        </is>
      </c>
      <c r="I170" t="inlineStr">
        <is>
          <t>KARINE JEAN-PIERRE FARÁ HISTÓRIA AO SUBSTITUIR JEN PSAKI COMO SECRETÁRIA DE IMPRENSA. NASCIDA NA MARTINICA E FILHA DE PAIS HAITIANOS, ELA É COLABORADORA DE LONGA DATA DE BIDEN E TRABALHOU COM A VICE-PRESIDENTE HARRIS.</t>
        </is>
      </c>
      <c r="J170">
        <f>HYPERLINK("https://g1.globo.com/mundo/noticia/2022/05/22/quem-e-karine-jean-pierre-a-primeira-porta-voz-negra-e-lgbtq-da-casa-branca.ghtml", "URL")</f>
        <v/>
      </c>
      <c r="K170">
        <f>HYPERLINK("https://raw.githubusercontent.com/marcosmapl/dataset_imigrantes/main/noticias_filtered/g1/haitianos/2022/04_mai/html/g1_ae9452f6-22f8-11ed-b24f-6dbe51e79fca_2150.html", "HTML")</f>
        <v/>
      </c>
      <c r="L170">
        <f>HYPERLINK("https://raw.githubusercontent.com/marcosmapl/dataset_imigrantes/main/noticias_filtered/g1/haitianos/2022/04_mai/txt/g1_ae9452f6-22f8-11ed-b24f-6dbe51e79fca_2150.txt", "TXT")</f>
        <v/>
      </c>
    </row>
    <row r="171">
      <c r="A171" s="1" t="n">
        <v>169</v>
      </c>
      <c r="B171" t="n">
        <v>2022</v>
      </c>
      <c r="C171" s="2" t="n">
        <v>44702.73961567129</v>
      </c>
      <c r="D171" t="inlineStr">
        <is>
          <t>G1</t>
        </is>
      </c>
      <c r="E171" t="inlineStr">
        <is>
          <t>VENEZUELANOS</t>
        </is>
      </c>
      <c r="F171" t="inlineStr">
        <is>
          <t>PRESIDENTE PRUDENTE E REGIÃO</t>
        </is>
      </c>
      <c r="G171" t="inlineStr">
        <is>
          <t>G1 PRESIDENTE PRUDENTE</t>
        </is>
      </c>
      <c r="H171" t="inlineStr">
        <is>
          <t>CRIADOR AMADOR DE PÁSSAROS LEVA MULTA DE R$ 2,4 MIL POR MANTER IRREGULARMENTE AVES EXÓTICAS EM CATIVEIRO</t>
        </is>
      </c>
      <c r="I171" t="inlineStr">
        <is>
          <t>POLÍCIA MILITAR AMBIENTAL COMPARECEU À RESIDÊNCIA, EM FLÓRIDA PAULISTA (SP), ONDE ENCONTROU DOIS PINTASSILGOS-VENEZUELANOS SEM COMPROVANTE DE ORIGEM EM GAIOLAS INDIVIDUAIS.</t>
        </is>
      </c>
      <c r="J171">
        <f>HYPERLINK("https://g1.globo.com/sp/presidente-prudente-regiao/noticia/2022/05/21/criador-amador-de-passaros-leva-multa-de-r-24-mil-por-manter-irregularmente-aves-exoticas-em-cativeiro.ghtml", "URL")</f>
        <v/>
      </c>
      <c r="K171">
        <f>HYPERLINK("https://raw.githubusercontent.com/marcosmapl/dataset_imigrantes/main/noticias_filtered/g1/venezuelanos/2022/04_mai/html/g1_b3849352-230c-11ed-b24f-6dbe51e79fca_2642.html", "HTML")</f>
        <v/>
      </c>
      <c r="L171">
        <f>HYPERLINK("https://raw.githubusercontent.com/marcosmapl/dataset_imigrantes/main/noticias_filtered/g1/venezuelanos/2022/04_mai/txt/g1_b3849352-230c-11ed-b24f-6dbe51e79fca_2642.txt", "TXT")</f>
        <v/>
      </c>
    </row>
    <row r="172">
      <c r="A172" s="1" t="n">
        <v>170</v>
      </c>
      <c r="B172" t="n">
        <v>2022</v>
      </c>
      <c r="C172" s="2" t="n">
        <v>44700.42649305556</v>
      </c>
      <c r="D172" t="inlineStr">
        <is>
          <t>A CRITICA</t>
        </is>
      </c>
      <c r="E172" t="inlineStr">
        <is>
          <t>VENEZUELANOS</t>
        </is>
      </c>
      <c r="F172" t="inlineStr">
        <is>
          <t>POLICIA</t>
        </is>
      </c>
      <c r="G172" t="inlineStr">
        <is>
          <t>JOANA QUEIROZ</t>
        </is>
      </c>
      <c r="H172" t="inlineStr">
        <is>
          <t>POLÍCIA APREENDE MAIS DE MEIA TONELADA DE DROGA PRÓXIMO AO ARQUIPÉLAGO DE ANAVILHANAS</t>
        </is>
      </c>
      <c r="I172" t="inlineStr">
        <is>
          <t>A DROGA FOI AVALIADA EM MAIS DE R$ 9 MILHÕES</t>
        </is>
      </c>
      <c r="J172">
        <f>HYPERLINK("https://www.acritica.com/policia/policia-apreende-mais-de-meia-tonelada-de-droga-proximo-ao-arquipelago-de-anavilhanas-1.270306", "URL")</f>
        <v/>
      </c>
      <c r="K172">
        <f>HYPERLINK("https://raw.githubusercontent.com/marcosmapl/dataset_imigrantes/main/noticias_filtered/a_critica/venezuelanos/2022/04_mai/html/1.270306_100.html", "HTML")</f>
        <v/>
      </c>
      <c r="L172">
        <f>HYPERLINK("https://raw.githubusercontent.com/marcosmapl/dataset_imigrantes/main/noticias_filtered/a_critica/venezuelanos/2022/04_mai/txt/1.270306_100.txt", "TXT")</f>
        <v/>
      </c>
    </row>
    <row r="173">
      <c r="A173" s="1" t="n">
        <v>171</v>
      </c>
      <c r="B173" t="n">
        <v>2022</v>
      </c>
      <c r="C173" s="2" t="n">
        <v>44699.82806712963</v>
      </c>
      <c r="D173" t="inlineStr">
        <is>
          <t>A CRITICA</t>
        </is>
      </c>
      <c r="E173" t="inlineStr">
        <is>
          <t>VENEZUELANOS</t>
        </is>
      </c>
      <c r="F173" t="inlineStr">
        <is>
          <t>ESPORTES</t>
        </is>
      </c>
      <c r="G173" t="inlineStr">
        <is>
          <t>ACRITICA.COM</t>
        </is>
      </c>
      <c r="H173" t="inlineStr">
        <is>
          <t>PCD´S TERÃO ACESSO GRATUITO À ARENA DA AMAZÔNIA NO JOGO ENTRE GUARANI E VASCO DA GAMA</t>
        </is>
      </c>
      <c r="I173" t="inlineStr">
        <is>
          <t>LEI ESTADUAL GARANTE GRATUIDADE PARA PESSOAS COM DEFICIÊNCIA E QUE O ACOMPANHANTE PAGUE MEIA-ENTRADA</t>
        </is>
      </c>
      <c r="J173">
        <f>HYPERLINK("https://www.acritica.com/esportes/pcd-s-ter-o-acesso-gratuito-a-arena-da-amazonia-no-jogo-entre-guarani-e-vasco-da-gama-1.270279", "URL")</f>
        <v/>
      </c>
      <c r="K173">
        <f>HYPERLINK("https://raw.githubusercontent.com/marcosmapl/dataset_imigrantes/main/noticias_filtered/a_critica/venezuelanos/2022/04_mai/html/1.270279_351.html", "HTML")</f>
        <v/>
      </c>
      <c r="L173">
        <f>HYPERLINK("https://raw.githubusercontent.com/marcosmapl/dataset_imigrantes/main/noticias_filtered/a_critica/venezuelanos/2022/04_mai/txt/1.270279_351.txt", "TXT")</f>
        <v/>
      </c>
    </row>
    <row r="174">
      <c r="A174" s="1" t="n">
        <v>172</v>
      </c>
      <c r="B174" t="n">
        <v>2022</v>
      </c>
      <c r="C174" s="2" t="n">
        <v>44699.43416958334</v>
      </c>
      <c r="D174" t="inlineStr">
        <is>
          <t>G1</t>
        </is>
      </c>
      <c r="E174" t="inlineStr">
        <is>
          <t>VENEZUELANOS</t>
        </is>
      </c>
      <c r="F174" t="inlineStr">
        <is>
          <t>MUNDO</t>
        </is>
      </c>
      <c r="G174" t="inlineStr">
        <is>
          <t>BBC</t>
        </is>
      </c>
      <c r="H174" t="inlineStr">
        <is>
          <t>POR QUE OS EUA DECIDIRAM RELAXAR SANÇÕES CONTRA A VENEZUELA AGORA?</t>
        </is>
      </c>
      <c r="I174" t="inlineStr">
        <is>
          <t>PREÇO DO PETRÓLEO, PRESSÃO DE OUTROS LÍDERES NA AMÉRICA LATINA, DESEJO DE FORÇAR RETOMADA DE NEGOCIAÇÕES NO PAÍS E DE REVERTER A AGENDA DE TRUMP EXPLICAM POLÊMICA AÇÃO DO GOVERNO BIDEN.</t>
        </is>
      </c>
      <c r="J174">
        <f>HYPERLINK("https://g1.globo.com/mundo/noticia/2022/05/18/por-que-os-eua-decidiram-relaxar-sancoes-contra-a-venezuela-agora.ghtml", "URL")</f>
        <v/>
      </c>
      <c r="K174">
        <f>HYPERLINK("https://raw.githubusercontent.com/marcosmapl/dataset_imigrantes/main/noticias_filtered/g1/venezuelanos/2022/04_mai/html/g1_3c978804-231f-11ed-b24f-6dbe51e79fca_3610.html", "HTML")</f>
        <v/>
      </c>
      <c r="L174">
        <f>HYPERLINK("https://raw.githubusercontent.com/marcosmapl/dataset_imigrantes/main/noticias_filtered/g1/venezuelanos/2022/04_mai/txt/g1_3c978804-231f-11ed-b24f-6dbe51e79fca_3610.txt", "TXT")</f>
        <v/>
      </c>
    </row>
    <row r="175">
      <c r="A175" s="1" t="n">
        <v>173</v>
      </c>
      <c r="B175" t="n">
        <v>2022</v>
      </c>
      <c r="C175" s="2" t="n">
        <v>44699.32986111111</v>
      </c>
      <c r="D175" t="inlineStr">
        <is>
          <t>PORTAL AMAZONIA</t>
        </is>
      </c>
      <c r="E175" t="inlineStr">
        <is>
          <t>VENEZUELANOS</t>
        </is>
      </c>
      <c r="F175" t="inlineStr">
        <is>
          <t>AMAZÔNIA,RONDÔNIA</t>
        </is>
      </c>
      <c r="G175" t="inlineStr">
        <is>
          <t>PORTAL AMAZÔNIA, COM INFORMAÇÕES DO G1 RONDÔNIA</t>
        </is>
      </c>
      <c r="H175" t="inlineStr">
        <is>
          <t>JIBOIA ARCO-ÍRIS: ESPÉCIE RESGATADA EM RONDÔNIA TAMBÉM É ENCONTRADA EM OUTRAS REGIÕES NA AMAZÔNIA</t>
        </is>
      </c>
      <c r="I175" t="inlineStr">
        <is>
          <t>ESSA ESPÉCIE DE COBRA É ENCONTRADA EM PARTE DA AMAZÔNIA BRASILEIRA, COLOMBIANA E VENEZUELANA, ALÉM DA AMÉRICA CENTRAL. ELAS VIVEM APROXIMADAMENTE 15 ANOS, PODEM CHEGAR A MAIS DE DOIS METROS E PESAR 5 KG.</t>
        </is>
      </c>
      <c r="J175">
        <f>HYPERLINK("https://portalamazonia.com/estados/rondonia/jiboia-arco-iris-especie-resgatada-em-rondonia-tambem-e-encontrada-em-outras-regioes-na-amazonia", "URL")</f>
        <v/>
      </c>
      <c r="K175">
        <f>HYPERLINK("https://raw.githubusercontent.com/marcosmapl/dataset_imigrantes/main/noticias_filtered/portal_amazonia/venezuelanos/2022/04_mai/html/35715.87074_1607.html", "HTML")</f>
        <v/>
      </c>
      <c r="L175">
        <f>HYPERLINK("https://raw.githubusercontent.com/marcosmapl/dataset_imigrantes/main/noticias_filtered/portal_amazonia/venezuelanos/2022/04_mai/txt/35715.87074_1607.txt", "TXT")</f>
        <v/>
      </c>
    </row>
    <row r="176">
      <c r="A176" s="1" t="n">
        <v>174</v>
      </c>
      <c r="B176" t="n">
        <v>2022</v>
      </c>
      <c r="C176" s="2" t="n">
        <v>44698.74148197917</v>
      </c>
      <c r="D176" t="inlineStr">
        <is>
          <t>G1</t>
        </is>
      </c>
      <c r="E176" t="inlineStr">
        <is>
          <t>VENEZUELANOS</t>
        </is>
      </c>
      <c r="F176" t="inlineStr">
        <is>
          <t>MUNDO</t>
        </is>
      </c>
      <c r="G176" t="inlineStr">
        <is>
          <t>FRANCE PRESSE</t>
        </is>
      </c>
      <c r="H176" t="inlineStr">
        <is>
          <t>VENEZUELANO DE 112 ANOS SE TORNA O HOMEM MAIS VELHO DO MUNDO</t>
        </is>
      </c>
      <c r="I176" t="inlineStr">
        <is>
          <t>A PESSOA VIVA MAIS VELHA É UMA FRANCESA, A IRMÃ ANDRÉ, CUJO NOME DE BATISMO É LUCILE RANDON, NASCIDA EM 11 DE FEVEREIRO DE 1904. ELA TEM 118 ANOS.</t>
        </is>
      </c>
      <c r="J176">
        <f>HYPERLINK("https://g1.globo.com/mundo/noticia/2022/05/17/venezuelano-de-112-anos-se-torna-o-homem-mais-velho-do-mundo.ghtml", "URL")</f>
        <v/>
      </c>
      <c r="K176">
        <f>HYPERLINK("https://raw.githubusercontent.com/marcosmapl/dataset_imigrantes/main/noticias_filtered/g1/venezuelanos/2022/04_mai/html/g1_7b792490-2317-11ed-b24f-6dbe51e79fca_3210.html", "HTML")</f>
        <v/>
      </c>
      <c r="L176">
        <f>HYPERLINK("https://raw.githubusercontent.com/marcosmapl/dataset_imigrantes/main/noticias_filtered/g1/venezuelanos/2022/04_mai/txt/g1_7b792490-2317-11ed-b24f-6dbe51e79fca_3210.txt", "TXT")</f>
        <v/>
      </c>
    </row>
    <row r="177">
      <c r="A177" s="1" t="n">
        <v>175</v>
      </c>
      <c r="B177" t="n">
        <v>2022</v>
      </c>
      <c r="C177" s="2" t="n">
        <v>44698.48275016204</v>
      </c>
      <c r="D177" t="inlineStr">
        <is>
          <t>G1</t>
        </is>
      </c>
      <c r="E177" t="inlineStr">
        <is>
          <t>VENEZUELANOS</t>
        </is>
      </c>
      <c r="F177" t="inlineStr">
        <is>
          <t>MUNDO</t>
        </is>
      </c>
      <c r="G177" t="inlineStr">
        <is>
          <t>MARGARITA RODRÍGUEZ, BBC</t>
        </is>
      </c>
      <c r="H177" t="inlineStr">
        <is>
          <t>'ALGUNS CHEGAM SEM UNHAS DE TANTO SE AGARRAR AOS ARBUSTOS': A PERIGOSA TRAVESSIA DE MULHER COM FILHA DE 3 ANOS PARA OS EUA</t>
        </is>
      </c>
      <c r="I177" t="inlineStr">
        <is>
          <t>IMIGRANTES VENEZUELANOS JUNTAM-SE A MILHARES DE PESSOAS QUE TENTAM CHEGAR AOS EUA ATRAVÉS DA FRONTEIRA COM O MÉXICO. A BBC NEWS MUNDO, O SERVIÇO DE NOTÍCIAS EM ESPANHOL DA BBC, CONVERSOU COM UMA VENEZUELANA QUE FEZ ESSA TRAVESSIA COM SUA FILHA DE QUASE TRÊS ANOS.</t>
        </is>
      </c>
      <c r="J177">
        <f>HYPERLINK("https://g1.globo.com/mundo/noticia/2022/05/17/alguns-chegam-sem-unhas-de-tanto-se-agarrar-aos-arbustos-a-perigosa-travessia-de-mulher-com-filha-de-3-anos-para-os-eua.ghtml", "URL")</f>
        <v/>
      </c>
      <c r="K177">
        <f>HYPERLINK("https://raw.githubusercontent.com/marcosmapl/dataset_imigrantes/main/noticias_filtered/g1/venezuelanos/2022/04_mai/html/g1_18746f88-232d-11ed-b24f-6dbe51e79fca_4342.html", "HTML")</f>
        <v/>
      </c>
      <c r="L177">
        <f>HYPERLINK("https://raw.githubusercontent.com/marcosmapl/dataset_imigrantes/main/noticias_filtered/g1/venezuelanos/2022/04_mai/txt/g1_18746f88-232d-11ed-b24f-6dbe51e79fca_4342.txt", "TXT")</f>
        <v/>
      </c>
    </row>
    <row r="178">
      <c r="A178" s="1" t="n">
        <v>176</v>
      </c>
      <c r="B178" t="n">
        <v>2022</v>
      </c>
      <c r="C178" s="2" t="n">
        <v>44695.75660684028</v>
      </c>
      <c r="D178" t="inlineStr">
        <is>
          <t>G1</t>
        </is>
      </c>
      <c r="E178" t="inlineStr">
        <is>
          <t>VENEZUELANOS</t>
        </is>
      </c>
      <c r="F178" t="inlineStr">
        <is>
          <t>PRESIDENTE PRUDENTE E REGIÃO</t>
        </is>
      </c>
      <c r="G178" t="inlineStr">
        <is>
          <t>G1 PRESIDENTE PRUDENTE</t>
        </is>
      </c>
      <c r="H178" t="inlineStr">
        <is>
          <t>COMPANHIA CIRQUITO APRESENTA ESPETÁCULO ‘ROMPENDO FRONTEIRA’ EM PRESIDENTE PRUDENTE</t>
        </is>
      </c>
      <c r="I178" t="inlineStr">
        <is>
          <t>EVENTO É NESTE DOMINGO (15), ÀS 17H, AO LADO DO PARQUINHO INFANTIL, NO PARQUE DO POVO. GRUPO É FORMADO POR DEBORA SOUZA, DO INTERIOR PAULISTA, E PELO PROFESSOR DE CIRCO VENEZUELANO, LUIS SEGNINI.</t>
        </is>
      </c>
      <c r="J178">
        <f>HYPERLINK("https://g1.globo.com/sp/presidente-prudente-regiao/noticia/2022/05/14/companhia-cirquito-apresenta-espetaculo-rompendo-fronteira-em-presidente-prudente.ghtml", "URL")</f>
        <v/>
      </c>
      <c r="K178">
        <f>HYPERLINK("https://raw.githubusercontent.com/marcosmapl/dataset_imigrantes/main/noticias_filtered/g1/venezuelanos/2022/04_mai/html/g1_98d90e1c-2315-11ed-b24f-6dbe51e79fca_3095.html", "HTML")</f>
        <v/>
      </c>
      <c r="L178">
        <f>HYPERLINK("https://raw.githubusercontent.com/marcosmapl/dataset_imigrantes/main/noticias_filtered/g1/venezuelanos/2022/04_mai/txt/g1_98d90e1c-2315-11ed-b24f-6dbe51e79fca_3095.txt", "TXT")</f>
        <v/>
      </c>
    </row>
    <row r="179">
      <c r="A179" s="1" t="n">
        <v>177</v>
      </c>
      <c r="B179" t="n">
        <v>2022</v>
      </c>
      <c r="C179" s="2" t="n">
        <v>44695.57332925926</v>
      </c>
      <c r="D179" t="inlineStr">
        <is>
          <t>G1</t>
        </is>
      </c>
      <c r="E179" t="inlineStr">
        <is>
          <t>VENEZUELANOS</t>
        </is>
      </c>
      <c r="F179" t="inlineStr">
        <is>
          <t>GOIÁS</t>
        </is>
      </c>
      <c r="G179" t="inlineStr">
        <is>
          <t>VANESSA MARTINS E CAMILA FARACO, G1 GOIÁS E TV ANHANGUERA</t>
        </is>
      </c>
      <c r="H179" t="inlineStr">
        <is>
          <t>SUSPEITO DE ROUBAR FRALDAS E LEITE EM FARMÁCIA É MORTO EM TROCA DE TIROS COM A PM; OUÇA</t>
        </is>
      </c>
      <c r="I179" t="inlineStr">
        <is>
          <t>SEGUNDO CORPORAÇÃO, ELE ERA CONHECIDO COMO 'VENEZUELANO' E JÁ HAVIA SIDO PRESO DUAS VEZES NOS ÚLTIMOS 15 DIAS. MORADORES DA REGIÃO E MOTORISTAS QUE PASSAVAM PELO LOCAL OUVIRAM DISPAROS.</t>
        </is>
      </c>
      <c r="J179">
        <f>HYPERLINK("https://g1.globo.com/go/goias/noticia/2022/05/14/suspeito-de-roubo-e-morto-em-troca-de-tiros-em-goiania-diz-policia.ghtml", "URL")</f>
        <v/>
      </c>
      <c r="K179">
        <f>HYPERLINK("https://raw.githubusercontent.com/marcosmapl/dataset_imigrantes/main/noticias_filtered/g1/venezuelanos/2022/04_mai/html/g1_364276b4-2327-11ed-b24f-6dbe51e79fca_4022.html", "HTML")</f>
        <v/>
      </c>
      <c r="L179">
        <f>HYPERLINK("https://raw.githubusercontent.com/marcosmapl/dataset_imigrantes/main/noticias_filtered/g1/venezuelanos/2022/04_mai/txt/g1_364276b4-2327-11ed-b24f-6dbe51e79fca_4022.txt", "TXT")</f>
        <v/>
      </c>
    </row>
    <row r="180">
      <c r="A180" s="1" t="n">
        <v>178</v>
      </c>
      <c r="B180" t="n">
        <v>2022</v>
      </c>
      <c r="C180" s="2" t="n">
        <v>44695.02834976852</v>
      </c>
      <c r="D180" t="inlineStr">
        <is>
          <t>G1</t>
        </is>
      </c>
      <c r="E180" t="inlineStr">
        <is>
          <t>VENEZUELANOS</t>
        </is>
      </c>
      <c r="F180" t="inlineStr">
        <is>
          <t>RORAIMA</t>
        </is>
      </c>
      <c r="G180" t="inlineStr">
        <is>
          <t>G1 RR — BOA VISTA</t>
        </is>
      </c>
      <c r="H180" t="inlineStr">
        <is>
          <t>HOMEM ENCONTRADO DECAPITADO TEM CORPO IDENTIFICADO; MULHER SEGUE DESCONHECIDA</t>
        </is>
      </c>
      <c r="I180" t="inlineStr">
        <is>
          <t>CORPOS FORAM ENCONTRADOS NA QUARTA-FEIRA (11), PRÓXIMO A UM ABRIGO PARA MIGRANTES VENEZUELANOS NO BAIRRO 13 DE SETEMBRO, EM BOA VISTA.</t>
        </is>
      </c>
      <c r="J180">
        <f>HYPERLINK("https://g1.globo.com/rr/roraima/noticia/2022/05/13/homem-encontrado-decapitado-tem-corpo-identificado-mulher-segue-desconhecida.ghtml", "URL")</f>
        <v/>
      </c>
      <c r="K180">
        <f>HYPERLINK("https://raw.githubusercontent.com/marcosmapl/dataset_imigrantes/main/noticias_filtered/g1/venezuelanos/2022/04_mai/html/g1_c8dd0f5a-2329-11ed-b24f-6dbe51e79fca_4138.html", "HTML")</f>
        <v/>
      </c>
      <c r="L180">
        <f>HYPERLINK("https://raw.githubusercontent.com/marcosmapl/dataset_imigrantes/main/noticias_filtered/g1/venezuelanos/2022/04_mai/txt/g1_c8dd0f5a-2329-11ed-b24f-6dbe51e79fca_4138.txt", "TXT")</f>
        <v/>
      </c>
    </row>
    <row r="181">
      <c r="A181" s="1" t="n">
        <v>179</v>
      </c>
      <c r="B181" t="n">
        <v>2022</v>
      </c>
      <c r="C181" s="2" t="n">
        <v>44694.83229185185</v>
      </c>
      <c r="D181" t="inlineStr">
        <is>
          <t>G1</t>
        </is>
      </c>
      <c r="E181" t="inlineStr">
        <is>
          <t>VENEZUELANOS</t>
        </is>
      </c>
      <c r="F181" t="inlineStr">
        <is>
          <t>RIO GRANDE DO SUL</t>
        </is>
      </c>
      <c r="G181" t="inlineStr">
        <is>
          <t>G1 RS</t>
        </is>
      </c>
      <c r="H181" t="inlineStr">
        <is>
          <t>HOMEM É CONDENADO A 17 ANOS DE PRISÃO POR MATAR VENEZUELANA COM ÁCIDO EM CAXIAS DO SUL</t>
        </is>
      </c>
      <c r="I181" t="inlineStr">
        <is>
          <t>CRIME ACONTECEU EM DEZEMBRO 2019. RÉU ERA EX-COMPANHEIRO DA VÍTIMA, QUE HAVIA FUGIDO PARA O SUL DO BRASIL DE RORAIMA DEVIDO À VIOLÊNCIA DOMÉSTICA.</t>
        </is>
      </c>
      <c r="J181">
        <f>HYPERLINK("https://g1.globo.com/rs/rio-grande-do-sul/noticia/2022/05/13/homem-e-condenado-a-17-anos-de-prisao-por-matar-venezuelana-com-acido-em-caxias-do-sul.ghtml", "URL")</f>
        <v/>
      </c>
      <c r="K181">
        <f>HYPERLINK("https://raw.githubusercontent.com/marcosmapl/dataset_imigrantes/main/noticias_filtered/g1/venezuelanos/2022/04_mai/html/g1_f03277e6-2312-11ed-b24f-6dbe51e79fca_2983.html", "HTML")</f>
        <v/>
      </c>
      <c r="L181">
        <f>HYPERLINK("https://raw.githubusercontent.com/marcosmapl/dataset_imigrantes/main/noticias_filtered/g1/venezuelanos/2022/04_mai/txt/g1_f03277e6-2312-11ed-b24f-6dbe51e79fca_2983.txt", "TXT")</f>
        <v/>
      </c>
    </row>
    <row r="182">
      <c r="A182" s="1" t="n">
        <v>180</v>
      </c>
      <c r="B182" t="n">
        <v>2022</v>
      </c>
      <c r="C182" s="2" t="n">
        <v>44694.33679380787</v>
      </c>
      <c r="D182" t="inlineStr">
        <is>
          <t>G1</t>
        </is>
      </c>
      <c r="E182" t="inlineStr">
        <is>
          <t>HAITIANOS</t>
        </is>
      </c>
      <c r="F182" t="inlineStr">
        <is>
          <t>MUNDO</t>
        </is>
      </c>
      <c r="G182" t="inlineStr">
        <is>
          <t>DANIEL GARCÍA MARCO, BBC</t>
        </is>
      </c>
      <c r="H182" t="inlineStr">
        <is>
          <t>O POLÊMICO MURO QUE DIVIDE DOIS PAÍSES EM ILHA NO CARIBE</t>
        </is>
      </c>
      <c r="I182" t="inlineStr">
        <is>
          <t>A BBC NEWS MUNDO, SERVIÇO EM ESPANHOL DA BBC, VIAJOU PARA A FRONTEIRA ENTRE A REPÚBLICA DOMINICANA E O HAITI, DOIS PAÍSES QUE COMPARTILHAM UMA ILHA E QUE EM BREVE SERÃO SEPARADOS POR UM MURO.</t>
        </is>
      </c>
      <c r="J182">
        <f>HYPERLINK("https://g1.globo.com/mundo/noticia/2022/05/13/o-polemico-muro-que-divide-dois-paises-em-ilha-no-caribe.ghtml", "URL")</f>
        <v/>
      </c>
      <c r="K182">
        <f>HYPERLINK("https://raw.githubusercontent.com/marcosmapl/dataset_imigrantes/main/noticias_filtered/g1/haitianos/2022/04_mai/html/g1_c0d6b226-22ec-11ed-b24f-6dbe51e79fca_1666.html", "HTML")</f>
        <v/>
      </c>
      <c r="L182">
        <f>HYPERLINK("https://raw.githubusercontent.com/marcosmapl/dataset_imigrantes/main/noticias_filtered/g1/haitianos/2022/04_mai/txt/g1_c0d6b226-22ec-11ed-b24f-6dbe51e79fca_1666.txt", "TXT")</f>
        <v/>
      </c>
    </row>
    <row r="183">
      <c r="A183" s="1" t="n">
        <v>181</v>
      </c>
      <c r="B183" t="n">
        <v>2022</v>
      </c>
      <c r="C183" s="2" t="n">
        <v>44694.01730855324</v>
      </c>
      <c r="D183" t="inlineStr">
        <is>
          <t>G1</t>
        </is>
      </c>
      <c r="E183" t="inlineStr">
        <is>
          <t>HAITIANOS</t>
        </is>
      </c>
      <c r="F183" t="inlineStr">
        <is>
          <t>MUNDO</t>
        </is>
      </c>
      <c r="G183" t="inlineStr">
        <is>
          <t>FRANCE PRESSE</t>
        </is>
      </c>
      <c r="H183" t="inlineStr">
        <is>
          <t>NAUFRÁGIO EM PORTO RICO DEIXA AO MENOS 11 MORTOS</t>
        </is>
      </c>
      <c r="I183" t="inlineStr">
        <is>
          <t>AS PESSOAS RESGATADAS SÃO PRINCIPALMENTE DO HAITI E DA REPÚBLICA DOMINICANA, SEGUNDO AS AUTORIDADES. SUSPEITA-SE QUE A EMBARCAÇÃO LEVASSE IMIGRANTES ILEGAIS.</t>
        </is>
      </c>
      <c r="J183">
        <f>HYPERLINK("https://g1.globo.com/mundo/noticia/2022/05/12/naufragio-em-porto-rico-deixa-ao-menos-11-mortos.ghtml", "URL")</f>
        <v/>
      </c>
      <c r="K183">
        <f>HYPERLINK("https://raw.githubusercontent.com/marcosmapl/dataset_imigrantes/main/noticias_filtered/g1/haitianos/2022/04_mai/html/g1_253624c4-231d-11ed-b24f-6dbe51e79fca_3485.html", "HTML")</f>
        <v/>
      </c>
      <c r="L183">
        <f>HYPERLINK("https://raw.githubusercontent.com/marcosmapl/dataset_imigrantes/main/noticias_filtered/g1/haitianos/2022/04_mai/txt/g1_253624c4-231d-11ed-b24f-6dbe51e79fca_3485.txt", "TXT")</f>
        <v/>
      </c>
    </row>
    <row r="184">
      <c r="A184" s="1" t="n">
        <v>182</v>
      </c>
      <c r="B184" t="n">
        <v>2022</v>
      </c>
      <c r="C184" s="2" t="n">
        <v>44693.33680555555</v>
      </c>
      <c r="D184" t="inlineStr">
        <is>
          <t>PORTAL AMAZONIA</t>
        </is>
      </c>
      <c r="E184" t="inlineStr">
        <is>
          <t>VENEZUELANOS</t>
        </is>
      </c>
      <c r="F184" t="inlineStr">
        <is>
          <t>AMAZÔNIA INTERNACIONAL</t>
        </is>
      </c>
      <c r="G184" t="inlineStr">
        <is>
          <t>REDAÇÃO - JORNALISMO@PORTALAMAZONIA.COM</t>
        </is>
      </c>
      <c r="H184" t="inlineStr">
        <is>
          <t>A MAIOR CACHOEIRA DO MUNDO FICA NA AMAZÔNIA INTERNACIONAL: SALTO ÁNGEL</t>
        </is>
      </c>
      <c r="I184" t="inlineStr">
        <is>
          <t>SÃO 979 METROS, SENDO 807 METROS DE QUEDA SEM INTERRUPÇÃO, E ESTÁ LOCALIZADA NO PARQUE NACIONAL CANAIMA, NO EXTREMO SUDESTE DA VENEZUELA.</t>
        </is>
      </c>
      <c r="J184">
        <f>HYPERLINK("https://portalamazonia.com/estados/amazonia-internacional/voce-sabia-que-a-maior-cachoeira-do-mundo-fica-na-amazonia-internacional", "URL")</f>
        <v/>
      </c>
      <c r="K184">
        <f>HYPERLINK("https://raw.githubusercontent.com/marcosmapl/dataset_imigrantes/main/noticias_filtered/portal_amazonia/venezuelanos/2022/04_mai/html/35669.86885_1603.html", "HTML")</f>
        <v/>
      </c>
      <c r="L184">
        <f>HYPERLINK("https://raw.githubusercontent.com/marcosmapl/dataset_imigrantes/main/noticias_filtered/portal_amazonia/venezuelanos/2022/04_mai/txt/35669.86885_1603.txt", "TXT")</f>
        <v/>
      </c>
    </row>
    <row r="185">
      <c r="A185" s="1" t="n">
        <v>183</v>
      </c>
      <c r="B185" t="n">
        <v>2022</v>
      </c>
      <c r="C185" s="2" t="n">
        <v>44692.59700729167</v>
      </c>
      <c r="D185" t="inlineStr">
        <is>
          <t>G1</t>
        </is>
      </c>
      <c r="E185" t="inlineStr">
        <is>
          <t>VENEZUELANOS</t>
        </is>
      </c>
      <c r="F185" t="inlineStr">
        <is>
          <t>AMAZONAS</t>
        </is>
      </c>
      <c r="G185" t="inlineStr">
        <is>
          <t>G1 AM</t>
        </is>
      </c>
      <c r="H185" t="inlineStr">
        <is>
          <t>PESQUISA AVALIA SAÚDE SEXUAL E REPRODUTIVA DAS VENEZUELANAS EM MANAUS</t>
        </is>
      </c>
      <c r="I185" t="inlineStr">
        <is>
          <t>MAIS DE 2 MIL MULHERES, DOS 15 AOS 49 ANOS, QUE MIGRARAM PARA O BRASIL ENTRE 2018 E 2021 FORAM ENTREVISTADAS.</t>
        </is>
      </c>
      <c r="J185">
        <f>HYPERLINK("https://g1.globo.com/am/amazonas/noticia/2022/05/11/pesquisa-avalia-saude-sexual-e-reprodutiva-das-venezuelanas-em-manaus.ghtml", "URL")</f>
        <v/>
      </c>
      <c r="K185">
        <f>HYPERLINK("https://raw.githubusercontent.com/marcosmapl/dataset_imigrantes/main/noticias_filtered/g1/venezuelanos/2022/04_mai/html/g1_2146edf2-2328-11ed-b24f-6dbe51e79fca_4065.html", "HTML")</f>
        <v/>
      </c>
      <c r="L185">
        <f>HYPERLINK("https://raw.githubusercontent.com/marcosmapl/dataset_imigrantes/main/noticias_filtered/g1/venezuelanos/2022/04_mai/txt/g1_2146edf2-2328-11ed-b24f-6dbe51e79fca_4065.txt", "TXT")</f>
        <v/>
      </c>
    </row>
    <row r="186">
      <c r="A186" s="1" t="n">
        <v>184</v>
      </c>
      <c r="B186" t="n">
        <v>2022</v>
      </c>
      <c r="C186" s="2" t="n">
        <v>44689.87137375</v>
      </c>
      <c r="D186" t="inlineStr">
        <is>
          <t>G1</t>
        </is>
      </c>
      <c r="E186" t="inlineStr">
        <is>
          <t>VENEZUELANOS</t>
        </is>
      </c>
      <c r="F186" t="inlineStr">
        <is>
          <t>MUNDO</t>
        </is>
      </c>
      <c r="G186" t="inlineStr">
        <is>
          <t>BBC</t>
        </is>
      </c>
      <c r="H186" t="inlineStr">
        <is>
          <t>'TUDO POR ELES': MÃES SOLTEIRAS VENEZUELANAS ENFRENTAM SAGA DA MIGRAÇÃO EM BUSCA DE VIDA MELHOR PARA FILHOS</t>
        </is>
      </c>
      <c r="I186" t="inlineStr">
        <is>
          <t>'TUDO POR ELES': MÃES SOLTEIRAS VENEZUELANAS ENFRENTAM SAGA DA MIGRAÇÃO EM BUSCA DE VIDA MELHOR PARA FILHOS</t>
        </is>
      </c>
      <c r="J186">
        <f>HYPERLINK("https://g1.globo.com/mundo/noticia/2022/05/08/tudo-por-eles-maes-solteiras-venezuelanas-enfrentam-saga-da-migracao-em-busca-de-vida-melhor-para-filhos.ghtml", "URL")</f>
        <v/>
      </c>
      <c r="K186">
        <f>HYPERLINK("https://raw.githubusercontent.com/marcosmapl/dataset_imigrantes/main/noticias_filtered/g1/venezuelanos/2022/04_mai/html/g1_70c03074-2313-11ed-b24f-6dbe51e79fca_3010.html", "HTML")</f>
        <v/>
      </c>
      <c r="L186">
        <f>HYPERLINK("https://raw.githubusercontent.com/marcosmapl/dataset_imigrantes/main/noticias_filtered/g1/venezuelanos/2022/04_mai/txt/g1_70c03074-2313-11ed-b24f-6dbe51e79fca_3010.txt", "TXT")</f>
        <v/>
      </c>
    </row>
    <row r="187">
      <c r="A187" s="1" t="n">
        <v>185</v>
      </c>
      <c r="B187" t="n">
        <v>2022</v>
      </c>
      <c r="C187" s="2" t="n">
        <v>44688.80708415509</v>
      </c>
      <c r="D187" t="inlineStr">
        <is>
          <t>G1</t>
        </is>
      </c>
      <c r="E187" t="inlineStr">
        <is>
          <t>VENEZUELANOS</t>
        </is>
      </c>
      <c r="F187" t="inlineStr">
        <is>
          <t>SANTARÉM E REGIÃO</t>
        </is>
      </c>
      <c r="G187" t="inlineStr">
        <is>
          <t>G1 SANTARÉM E REGIÃO — PA</t>
        </is>
      </c>
      <c r="H187" t="inlineStr">
        <is>
          <t>SANTARÉM PARTICIPA DE WORKSHOP DE BOAS PRÁTICAS VOLTADAS  ÀS POPULAÇÕES INDÍGENAS VENEZUELANAS</t>
        </is>
      </c>
      <c r="I187" t="inlineStr">
        <is>
          <t>EVENTO FOI REALIZADO EM MANAUS NOS DIAS 5 E 6 DE MAIO.</t>
        </is>
      </c>
      <c r="J187">
        <f>HYPERLINK("https://g1.globo.com/pa/santarem-regiao/noticia/2022/05/07/santarem-participa-de-workshop-de-boas-praticas-voltadas-as-populacoes-indigenas-venezuelanas.ghtml", "URL")</f>
        <v/>
      </c>
      <c r="K187">
        <f>HYPERLINK("https://raw.githubusercontent.com/marcosmapl/dataset_imigrantes/main/noticias_filtered/g1/venezuelanos/2022/04_mai/html/g1_74424536-2325-11ed-b24f-6dbe51e79fca_3914.html", "HTML")</f>
        <v/>
      </c>
      <c r="L187">
        <f>HYPERLINK("https://raw.githubusercontent.com/marcosmapl/dataset_imigrantes/main/noticias_filtered/g1/venezuelanos/2022/04_mai/txt/g1_74424536-2325-11ed-b24f-6dbe51e79fca_3914.txt", "TXT")</f>
        <v/>
      </c>
    </row>
    <row r="188">
      <c r="A188" s="1" t="n">
        <v>186</v>
      </c>
      <c r="B188" t="n">
        <v>2022</v>
      </c>
      <c r="C188" s="2" t="n">
        <v>44688.45009259259</v>
      </c>
      <c r="D188" t="inlineStr">
        <is>
          <t>A CRITICA</t>
        </is>
      </c>
      <c r="E188" t="inlineStr">
        <is>
          <t>VENEZUELANOS</t>
        </is>
      </c>
      <c r="F188" t="inlineStr">
        <is>
          <t>MANAUS</t>
        </is>
      </c>
      <c r="G188" t="inlineStr">
        <is>
          <t>KAROL ROCHA</t>
        </is>
      </c>
      <c r="H188" t="inlineStr">
        <is>
          <t>MANAUS OBTEVE AVANÇOS NO ACESSO A DIREITOS DE MIGRANTES, AVALIA REPRESENTANTE DA ONU</t>
        </is>
      </c>
      <c r="I188" t="inlineStr">
        <is>
          <t>MEMBRO DA ACNUR NO BRASIL DIZ QUE ATUAÇÃO DE ORGANIZAÇÕES DO SETOR PÚBLICO E DA SOCIEDADE CIVIL VÊM GARANTINDO ACESSO A DIREITOS FUNDAMENTAIS COM DESTAQUE PARA INDÍGENAS VENEZUELANOS DA ETNIA WARAO</t>
        </is>
      </c>
      <c r="J188">
        <f>HYPERLINK("https://www.acritica.com/manaus/manaus-obteve-avancos-no-acesso-a-direitos-de-migrantes-avalia-representante-da-onu-1.269212", "URL")</f>
        <v/>
      </c>
      <c r="K188">
        <f>HYPERLINK("https://raw.githubusercontent.com/marcosmapl/dataset_imigrantes/main/noticias_filtered/a_critica/venezuelanos/2022/04_mai/html/1.269212_589.html", "HTML")</f>
        <v/>
      </c>
      <c r="L188">
        <f>HYPERLINK("https://raw.githubusercontent.com/marcosmapl/dataset_imigrantes/main/noticias_filtered/a_critica/venezuelanos/2022/04_mai/txt/1.269212_589.txt", "TXT")</f>
        <v/>
      </c>
    </row>
    <row r="189">
      <c r="A189" s="1" t="n">
        <v>187</v>
      </c>
      <c r="B189" t="n">
        <v>2022</v>
      </c>
      <c r="C189" s="2" t="n">
        <v>44688.42384259259</v>
      </c>
      <c r="D189" t="inlineStr">
        <is>
          <t>A CRITICA</t>
        </is>
      </c>
      <c r="E189" t="inlineStr">
        <is>
          <t>HAITIANOS</t>
        </is>
      </c>
      <c r="F189" t="inlineStr">
        <is>
          <t>MANAUS</t>
        </is>
      </c>
      <c r="G189" t="inlineStr">
        <is>
          <t>AMARILES GAMA</t>
        </is>
      </c>
      <c r="H189" t="inlineStr">
        <is>
          <t>HAITIANA VÍTIMA DE PERSEGUIÇÃO E ROUBOS EM MANAUS DESABAFA: “ME DEIXEM TRABALHAR EM PAZ”</t>
        </is>
      </c>
      <c r="I189" t="inlineStr">
        <is>
          <t>GRÁVIDA E MÃE DE TRÊS FILHOS, A HAITIANA REFUGIADA GLORIANE AIMABLE ANTOINE, DE 39 ANOS, RELATA COMO TEM SIDO VÍTIMA DE SEGUIDOS CORTES DE ENERGIA, ROUBOS DE FIOS ELÉTRICOS E PERSEGUIÇÃO RACIAL NA ZONA NORTE DE MANAUS</t>
        </is>
      </c>
      <c r="J189">
        <f>HYPERLINK("https://www.acritica.com/manaus/haitiana-vitima-de-perseguic-o-e-roubos-em-manaus-desabafa-me-deixem-trabalhar-em-paz-1.269209", "URL")</f>
        <v/>
      </c>
      <c r="K189">
        <f>HYPERLINK("https://raw.githubusercontent.com/marcosmapl/dataset_imigrantes/main/noticias_filtered/a_critica/haitianos/2022/04_mai/html/1.269209_1064.html", "HTML")</f>
        <v/>
      </c>
      <c r="L189">
        <f>HYPERLINK("https://raw.githubusercontent.com/marcosmapl/dataset_imigrantes/main/noticias_filtered/a_critica/haitianos/2022/04_mai/txt/1.269209_1064.txt", "TXT")</f>
        <v/>
      </c>
    </row>
    <row r="190">
      <c r="A190" s="1" t="n">
        <v>188</v>
      </c>
      <c r="B190" t="n">
        <v>2022</v>
      </c>
      <c r="C190" s="2" t="n">
        <v>44687.74746439815</v>
      </c>
      <c r="D190" t="inlineStr">
        <is>
          <t>G1</t>
        </is>
      </c>
      <c r="E190" t="inlineStr">
        <is>
          <t>HAITIANOS</t>
        </is>
      </c>
      <c r="F190" t="inlineStr">
        <is>
          <t>MUNDO</t>
        </is>
      </c>
      <c r="G190" t="inlineStr">
        <is>
          <t>RFI</t>
        </is>
      </c>
      <c r="H190" t="inlineStr">
        <is>
          <t>NEGRA, GAY, IMIGRANTE, FORMADA EM COLUMBIA: VEJA QUEM É KARINE JEAN-PIERRE, A NOVA PORTA-VOZ DA CASA BRANCA</t>
        </is>
      </c>
      <c r="I190" t="inlineStr">
        <is>
          <t>EM 2018, ELA DISSE EM UMA ENTREVISTA: “SOU TUDO O QUE DONALD TRUMP ODEIA". QUATRO ANOS DEPOIS, ELA É A RESPONSÁVEL POR CONDUZIR O DISCURSO PRESIDENCIAL E RESPONDER DIARIAMENTE ÀS PERGUNTAS DA IMPRENSA NA CASA BRANCA.</t>
        </is>
      </c>
      <c r="J190">
        <f>HYPERLINK("https://g1.globo.com/mundo/noticia/2022/05/06/negra-gay-imigrante-formada-em-columbia-veja-quem-e-karine-jean-pierre-a-nova-porta-voz-da-casa-branca.ghtml", "URL")</f>
        <v/>
      </c>
      <c r="K190">
        <f>HYPERLINK("https://raw.githubusercontent.com/marcosmapl/dataset_imigrantes/main/noticias_filtered/g1/haitianos/2022/04_mai/html/g1_acc2524c-2312-11ed-b24f-6dbe51e79fca_2975.html", "HTML")</f>
        <v/>
      </c>
      <c r="L190">
        <f>HYPERLINK("https://raw.githubusercontent.com/marcosmapl/dataset_imigrantes/main/noticias_filtered/g1/haitianos/2022/04_mai/txt/g1_acc2524c-2312-11ed-b24f-6dbe51e79fca_2975.txt", "TXT")</f>
        <v/>
      </c>
    </row>
    <row r="191">
      <c r="A191" s="1" t="n">
        <v>189</v>
      </c>
      <c r="B191" t="n">
        <v>2022</v>
      </c>
      <c r="C191" s="2" t="n">
        <v>44687.53520217592</v>
      </c>
      <c r="D191" t="inlineStr">
        <is>
          <t>G1</t>
        </is>
      </c>
      <c r="E191" t="inlineStr">
        <is>
          <t>HAITIANOS</t>
        </is>
      </c>
      <c r="F191" t="inlineStr">
        <is>
          <t>PARANÁ</t>
        </is>
      </c>
      <c r="G191" t="inlineStr">
        <is>
          <t>RPC CURITIBA</t>
        </is>
      </c>
      <c r="H191" t="inlineStr">
        <is>
          <t>MULHER É PRESA SUSPEITA DE MANDAR MATAR HAITIANO QUE A CONVIDOU PARA DANÇAR EM BAR DE CURITIBA, DIZ POLÍCIA</t>
        </is>
      </c>
      <c r="I191" t="inlineStr">
        <is>
          <t>CRIME OCORREU NO BAIRRO ALTO BOQUEIRÃO, NO FINAL DE FEVEREIRO, E FOI REGISTRADO POR CÂMERAS DE SEGURANÇA; IRMÃO DA SUSPEITA FOI QUEM ATIROU NA VÍTIMA, DE ACORDO COM DELEGADO.</t>
        </is>
      </c>
      <c r="J191">
        <f>HYPERLINK("https://g1.globo.com/pr/parana/noticia/2022/05/06/mulher-e-presa-suspeita-de-mandar-matar-haitiano-que-a-convidou-para-dancar-em-bar-de-curitiba-diz-policia.ghtml", "URL")</f>
        <v/>
      </c>
      <c r="K191">
        <f>HYPERLINK("https://raw.githubusercontent.com/marcosmapl/dataset_imigrantes/main/noticias_filtered/g1/haitianos/2022/04_mai/html/g1_40ec0222-22f7-11ed-b24f-6dbe51e79fca_2067.html", "HTML")</f>
        <v/>
      </c>
      <c r="L191">
        <f>HYPERLINK("https://raw.githubusercontent.com/marcosmapl/dataset_imigrantes/main/noticias_filtered/g1/haitianos/2022/04_mai/txt/g1_40ec0222-22f7-11ed-b24f-6dbe51e79fca_2067.txt", "TXT")</f>
        <v/>
      </c>
    </row>
    <row r="192">
      <c r="A192" s="1" t="n">
        <v>190</v>
      </c>
      <c r="B192" t="n">
        <v>2022</v>
      </c>
      <c r="C192" s="2" t="n">
        <v>44684.31372685185</v>
      </c>
      <c r="D192" t="inlineStr">
        <is>
          <t>A CRITICA</t>
        </is>
      </c>
      <c r="E192" t="inlineStr">
        <is>
          <t>HAITIANOS</t>
        </is>
      </c>
      <c r="F192" t="inlineStr">
        <is>
          <t>GERAL</t>
        </is>
      </c>
      <c r="G192" t="inlineStr">
        <is>
          <t>AGÊNCIA BRASIL</t>
        </is>
      </c>
      <c r="H192" t="inlineStr">
        <is>
          <t>FAMÍLIAS FOGEM DE CASA DURANTE ONDA DE VIOLÊNCIA NO HAITI</t>
        </is>
      </c>
      <c r="I192" t="inlineStr">
        <is>
          <t>GANGUES LEVAM PÂNICO ÀS RUAS DE PORTO PRÍNCIPE</t>
        </is>
      </c>
      <c r="J192">
        <f>HYPERLINK("https://www.acritica.com/geral/familias-fogem-de-casa-durante-onda-de-violencia-no-haiti-1.268772", "URL")</f>
        <v/>
      </c>
      <c r="K192">
        <f>HYPERLINK("https://raw.githubusercontent.com/marcosmapl/dataset_imigrantes/main/noticias_filtered/a_critica/haitianos/2022/04_mai/html/1.268772_1375.html", "HTML")</f>
        <v/>
      </c>
      <c r="L192">
        <f>HYPERLINK("https://raw.githubusercontent.com/marcosmapl/dataset_imigrantes/main/noticias_filtered/a_critica/haitianos/2022/04_mai/txt/1.268772_1375.txt", "TXT")</f>
        <v/>
      </c>
    </row>
    <row r="193">
      <c r="A193" s="1" t="n">
        <v>191</v>
      </c>
      <c r="B193" t="n">
        <v>2022</v>
      </c>
      <c r="C193" s="2" t="n">
        <v>44684.30684027778</v>
      </c>
      <c r="D193" t="inlineStr">
        <is>
          <t>A CRITICA</t>
        </is>
      </c>
      <c r="E193" t="inlineStr">
        <is>
          <t>VENEZUELANOS</t>
        </is>
      </c>
      <c r="F193" t="inlineStr">
        <is>
          <t>GERAL</t>
        </is>
      </c>
      <c r="G193" t="inlineStr">
        <is>
          <t>ACRITICA.COM</t>
        </is>
      </c>
      <c r="H193" t="inlineStr">
        <is>
          <t>INDÍGENAS VENEZUELANOS WARAO RECEBEM CAPACITAÇÃO SOBRE EDUCAÇÃO FINANCEIRA</t>
        </is>
      </c>
      <c r="I193" t="inlineStr">
        <is>
          <t>SERÃO ABORDADOS TEMAS COMO OS SISTEMAS FINANCEIRO E BANCÁRIO BRASILEIROS, ABERTURA DE CONTAS, TIPOS DE OPERAÇÃO DE CRÉDITO, PIX, DENTRE OUTROS</t>
        </is>
      </c>
      <c r="J193">
        <f>HYPERLINK("https://www.acritica.com/geral/indigenas-venezuelanos-warao-recebem-capacitac-o-sobre-educac-o-financeira-1.268768", "URL")</f>
        <v/>
      </c>
      <c r="K193">
        <f>HYPERLINK("https://raw.githubusercontent.com/marcosmapl/dataset_imigrantes/main/noticias_filtered/a_critica/venezuelanos/2022/04_mai/html/1.268768_11.html", "HTML")</f>
        <v/>
      </c>
      <c r="L193">
        <f>HYPERLINK("https://raw.githubusercontent.com/marcosmapl/dataset_imigrantes/main/noticias_filtered/a_critica/venezuelanos/2022/04_mai/txt/1.268768_11.txt", "TXT")</f>
        <v/>
      </c>
    </row>
    <row r="194">
      <c r="A194" s="1" t="n">
        <v>192</v>
      </c>
      <c r="B194" t="n">
        <v>2022</v>
      </c>
      <c r="C194" s="2" t="n">
        <v>44684.0052597338</v>
      </c>
      <c r="D194" t="inlineStr">
        <is>
          <t>G1</t>
        </is>
      </c>
      <c r="E194" t="inlineStr">
        <is>
          <t>HAITIANOS</t>
        </is>
      </c>
      <c r="F194" t="inlineStr">
        <is>
          <t>MUNDO</t>
        </is>
      </c>
      <c r="G194" t="inlineStr">
        <is>
          <t>REUTERS</t>
        </is>
      </c>
      <c r="H194" t="inlineStr">
        <is>
          <t>FAMÍLIAS HAITIANAS FOGEM DE CASA DURANTE ONDA DE VIOLÊNCIA EM PORTO PRÍNCIPE</t>
        </is>
      </c>
      <c r="I194" t="inlineStr">
        <is>
          <t>A VIOLÊNCIA DAS QUADRILHAS NO HAITI PIOROU DESDE O ASSASSINATO DO PRESIDENTE JOVENEL MOISE EM JULHO DE 2021.</t>
        </is>
      </c>
      <c r="J194">
        <f>HYPERLINK("https://g1.globo.com/mundo/noticia/2022/05/02/familias-haitianas-fogem-de-casa-durante-onda-de-violencia-em-porto-principe.ghtml", "URL")</f>
        <v/>
      </c>
      <c r="K194">
        <f>HYPERLINK("https://raw.githubusercontent.com/marcosmapl/dataset_imigrantes/main/noticias_filtered/g1/haitianos/2022/04_mai/html/g1_90996f60-22f9-11ed-b24f-6dbe51e79fca_2170.html", "HTML")</f>
        <v/>
      </c>
      <c r="L194">
        <f>HYPERLINK("https://raw.githubusercontent.com/marcosmapl/dataset_imigrantes/main/noticias_filtered/g1/haitianos/2022/04_mai/txt/g1_90996f60-22f9-11ed-b24f-6dbe51e79fca_2170.txt", "TXT")</f>
        <v/>
      </c>
    </row>
    <row r="195">
      <c r="A195" s="1" t="n">
        <v>193</v>
      </c>
      <c r="B195" t="n">
        <v>2022</v>
      </c>
      <c r="C195" s="2" t="n">
        <v>44682.4221958912</v>
      </c>
      <c r="D195" t="inlineStr">
        <is>
          <t>G1</t>
        </is>
      </c>
      <c r="E195" t="inlineStr">
        <is>
          <t>VENEZUELANOS</t>
        </is>
      </c>
      <c r="F195" t="inlineStr">
        <is>
          <t>RORAIMA</t>
        </is>
      </c>
      <c r="G195" t="inlineStr">
        <is>
          <t>YARA RAMALHO, G1 RR — BOA VISTA</t>
        </is>
      </c>
      <c r="H195" t="inlineStr">
        <is>
          <t>EM 12 ANOS, QUASE 100 PESSOAS FORAM RESGATADAS DE TRABALHOS ANÁLOGOS À ESCRAVIDÃO EM RORAIMA</t>
        </is>
      </c>
      <c r="I195" t="inlineStr">
        <is>
          <t>MUNICÍPIO DE CANTÁ, NO NORTE DO ESTADO, OCUPA O TOPO DO RANKING ESTADUAL DE AUTOS DE INFRAÇÃO DURANTE INSPEÇÕES. CUBANOS, VENEZUELANOS E INDÍGENAS ESTÃO ENTRE AS PESSOAS RESGATADAS.</t>
        </is>
      </c>
      <c r="J195">
        <f>HYPERLINK("https://g1.globo.com/rr/roraima/noticia/2022/05/01/em-12-anos-quase-100-pessoas-foram-resgatadas-de-trabalhos-analogos-a-escravidao-em-roraima.ghtml", "URL")</f>
        <v/>
      </c>
      <c r="K195">
        <f>HYPERLINK("https://raw.githubusercontent.com/marcosmapl/dataset_imigrantes/main/noticias_filtered/g1/venezuelanos/2022/04_mai/html/g1_a830b170-2316-11ed-b24f-6dbe51e79fca_3162.html", "HTML")</f>
        <v/>
      </c>
      <c r="L195">
        <f>HYPERLINK("https://raw.githubusercontent.com/marcosmapl/dataset_imigrantes/main/noticias_filtered/g1/venezuelanos/2022/04_mai/txt/g1_a830b170-2316-11ed-b24f-6dbe51e79fca_3162.txt", "TXT")</f>
        <v/>
      </c>
    </row>
    <row r="196">
      <c r="A196" s="1" t="n">
        <v>194</v>
      </c>
      <c r="B196" t="n">
        <v>2022</v>
      </c>
      <c r="C196" s="2" t="n">
        <v>44681.861875</v>
      </c>
      <c r="D196" t="inlineStr">
        <is>
          <t>A CRITICA</t>
        </is>
      </c>
      <c r="E196" t="inlineStr">
        <is>
          <t>VENEZUELANOS</t>
        </is>
      </c>
      <c r="F196" t="inlineStr">
        <is>
          <t>ESPORTES</t>
        </is>
      </c>
      <c r="G196" t="inlineStr">
        <is>
          <t>CAMILA LEONEL</t>
        </is>
      </c>
      <c r="H196" t="inlineStr">
        <is>
          <t>ISMAEL SILVA CONQUISTA PRATA NOS JOGOS SUL-AMERICANOS DA JUVENTUDE, NA ARGENTINA</t>
        </is>
      </c>
      <c r="I196" t="inlineStr">
        <is>
          <t>ATLETA AMAZONENSE DE WRESTLING SUBIU AO PÓDIO LOGO NA PRIMEIRA COMPETIÇÃO INTERNACIONAL QUE DISPUTOU</t>
        </is>
      </c>
      <c r="J196">
        <f>HYPERLINK("https://www.acritica.com/esportes/ismael-silva-conquista-prata-nos-jogos-sul-americanos-da-juventude-na-argentina-1.268615", "URL")</f>
        <v/>
      </c>
      <c r="K196">
        <f>HYPERLINK("https://raw.githubusercontent.com/marcosmapl/dataset_imigrantes/main/noticias_filtered/a_critica/venezuelanos/2022/03_abr/html/1.268615_1111.html", "HTML")</f>
        <v/>
      </c>
      <c r="L196">
        <f>HYPERLINK("https://raw.githubusercontent.com/marcosmapl/dataset_imigrantes/main/noticias_filtered/a_critica/venezuelanos/2022/03_abr/txt/1.268615_1111.txt", "TXT")</f>
        <v/>
      </c>
    </row>
    <row r="197">
      <c r="A197" s="1" t="n">
        <v>195</v>
      </c>
      <c r="B197" t="n">
        <v>2022</v>
      </c>
      <c r="C197" s="2" t="n">
        <v>44681.73530092592</v>
      </c>
      <c r="D197" t="inlineStr">
        <is>
          <t>A CRITICA</t>
        </is>
      </c>
      <c r="E197" t="inlineStr">
        <is>
          <t>VENEZUELANOS</t>
        </is>
      </c>
      <c r="F197" t="inlineStr">
        <is>
          <t>GERAL</t>
        </is>
      </c>
      <c r="G197" t="inlineStr">
        <is>
          <t>AGÊNCIA BRASIL</t>
        </is>
      </c>
      <c r="H197" t="inlineStr">
        <is>
          <t>BRASIL É O QUINTO PAÍS MAIS BUSCADO POR IMIGRANTES VENEZUELANOS</t>
        </is>
      </c>
      <c r="I197" t="inlineStr">
        <is>
          <t>DE JANEIRO DE 2017 A MARÇO DE 2022, O BRASIL RECEBEU 325.763 NATIVOS DA VENEZUELA QUE PERMANECERAM EM SOLO BRASILEIRO</t>
        </is>
      </c>
      <c r="J197">
        <f>HYPERLINK("https://www.acritica.com/geral/brasil-e-o-quinto-pais-mais-buscado-por-imigrantes-venezuelanos-1.268598", "URL")</f>
        <v/>
      </c>
      <c r="K197">
        <f>HYPERLINK("https://raw.githubusercontent.com/marcosmapl/dataset_imigrantes/main/noticias_filtered/a_critica/venezuelanos/2022/03_abr/html/1.268598_1272.html", "HTML")</f>
        <v/>
      </c>
      <c r="L197">
        <f>HYPERLINK("https://raw.githubusercontent.com/marcosmapl/dataset_imigrantes/main/noticias_filtered/a_critica/venezuelanos/2022/03_abr/txt/1.268598_1272.txt", "TXT")</f>
        <v/>
      </c>
    </row>
    <row r="198">
      <c r="A198" s="1" t="n">
        <v>196</v>
      </c>
      <c r="B198" t="n">
        <v>2022</v>
      </c>
      <c r="C198" s="2" t="n">
        <v>44681.66260416667</v>
      </c>
      <c r="D198" t="inlineStr">
        <is>
          <t>A CRITICA</t>
        </is>
      </c>
      <c r="E198" t="inlineStr">
        <is>
          <t>VENEZUELANOS</t>
        </is>
      </c>
      <c r="F198" t="inlineStr">
        <is>
          <t>GERAL</t>
        </is>
      </c>
      <c r="G198" t="inlineStr">
        <is>
          <t>AGÊNCIA BRASIL</t>
        </is>
      </c>
      <c r="H198" t="inlineStr">
        <is>
          <t>TROPA DA MARINHA RECEBE CERTIFICAÇÃO MÁXIMA PARA MISSÕES DE PAZ DA ONU</t>
        </is>
      </c>
      <c r="I198" t="inlineStr">
        <is>
          <t>GRUPAMENTO BRASILEIRO É O ÚNICO DISPONÍVEL NO MOMENTO PARA ATUAÇÃO NO MUNDO</t>
        </is>
      </c>
      <c r="J198">
        <f>HYPERLINK("https://www.acritica.com/geral/tropa-da-marinha-recebe-certificac-o-maxima-para-miss-es-de-paz-da-onu-1.268593", "URL")</f>
        <v/>
      </c>
      <c r="K198">
        <f>HYPERLINK("https://raw.githubusercontent.com/marcosmapl/dataset_imigrantes/main/noticias_filtered/a_critica/venezuelanos/2022/03_abr/html/1.268593_527.html", "HTML")</f>
        <v/>
      </c>
      <c r="L198">
        <f>HYPERLINK("https://raw.githubusercontent.com/marcosmapl/dataset_imigrantes/main/noticias_filtered/a_critica/venezuelanos/2022/03_abr/txt/1.268593_527.txt", "TXT")</f>
        <v/>
      </c>
    </row>
    <row r="199">
      <c r="A199" s="1" t="n">
        <v>197</v>
      </c>
      <c r="B199" t="n">
        <v>2022</v>
      </c>
      <c r="C199" s="2" t="n">
        <v>44680.99221407407</v>
      </c>
      <c r="D199" t="inlineStr">
        <is>
          <t>G1</t>
        </is>
      </c>
      <c r="E199" t="inlineStr">
        <is>
          <t>VENEZUELANOS</t>
        </is>
      </c>
      <c r="F199" t="inlineStr">
        <is>
          <t>RIBEIRÃO E FRANCA</t>
        </is>
      </c>
      <c r="G199" t="inlineStr">
        <is>
          <t>EPTV 2</t>
        </is>
      </c>
      <c r="H199" t="inlineStr">
        <is>
          <t>GRUPO DE VENEZUELANOS CHEGA A RIBEIRÃO PRETO, SP, FICA EM PRAÇA E É ACOLHIDO EM ABRIGO DA PREFEITURA</t>
        </is>
      </c>
      <c r="I199" t="inlineStr">
        <is>
          <t>SÃO CINCO FAMÍLIAS COM ADULTOS, CRIANÇAS E IDOSOS DA ETNIA WARAO. SEGUNDO SECRETÁRIO DE JUSTIÇA, OUTROS REFUGIADOS VIVEM NA CIDADE, MAS NÃO HÁ NÚMERO EXATO POR PARTE DA PREFEITURA.</t>
        </is>
      </c>
      <c r="J199">
        <f>HYPERLINK("https://g1.globo.com/sp/ribeirao-preto-franca/noticia/2022/04/29/grupo-de-venezuelanos-chega-a-ribeirao-preto-sp-fica-em-praca-e-e-acolhido-em-abrigo-da-prefeitura.ghtml", "URL")</f>
        <v/>
      </c>
      <c r="K199">
        <f>HYPERLINK("https://raw.githubusercontent.com/marcosmapl/dataset_imigrantes/main/noticias_filtered/g1/venezuelanos/2022/03_abr/html/g1_02cc689c-230b-11ed-b24f-6dbe51e79fca_2538.html", "HTML")</f>
        <v/>
      </c>
      <c r="L199">
        <f>HYPERLINK("https://raw.githubusercontent.com/marcosmapl/dataset_imigrantes/main/noticias_filtered/g1/venezuelanos/2022/03_abr/txt/g1_02cc689c-230b-11ed-b24f-6dbe51e79fca_2538.txt", "TXT")</f>
        <v/>
      </c>
    </row>
    <row r="200">
      <c r="A200" s="1" t="n">
        <v>198</v>
      </c>
      <c r="B200" t="n">
        <v>2022</v>
      </c>
      <c r="C200" s="2" t="n">
        <v>44679.91926688657</v>
      </c>
      <c r="D200" t="inlineStr">
        <is>
          <t>G1</t>
        </is>
      </c>
      <c r="E200" t="inlineStr">
        <is>
          <t>VENEZUELANOS</t>
        </is>
      </c>
      <c r="F200" t="inlineStr">
        <is>
          <t>RORAIMA</t>
        </is>
      </c>
      <c r="G200" t="inlineStr">
        <is>
          <t>G1 RR — BOA VISTA</t>
        </is>
      </c>
      <c r="H200" t="inlineStr">
        <is>
          <t>POLÍCIA IDENTIFICA SUSPEITO DE ESFAQUEAR HOMEM QUE MORREU EM FRENTE A LABORATÓRIO EM BOA VISTA</t>
        </is>
      </c>
      <c r="I200" t="inlineStr">
        <is>
          <t>VÍTIMA FOI IDENTIFICADA PRELIMINARMENTE COMO O VENEZUELANO YLFEDRO JOSÉ, APELIDADO DE "BARBICHA". BUSCAS PELO SUSPEITO SÃO REALIZADAS PELA DELEGACIA GERAL DE HOMICÍDIOS (DGH), QUE INVESTIGA O CASO.</t>
        </is>
      </c>
      <c r="J200">
        <f>HYPERLINK("https://g1.globo.com/rr/roraima/noticia/2022/04/28/policia-identifica-suspeito-de-esfaquear-homem-que-morreu-em-frente-a-laboratorio-em-boa-vista.ghtml", "URL")</f>
        <v/>
      </c>
      <c r="K200">
        <f>HYPERLINK("https://raw.githubusercontent.com/marcosmapl/dataset_imigrantes/main/noticias_filtered/g1/venezuelanos/2022/03_abr/html/g1_b5cda542-230f-11ed-b24f-6dbe51e79fca_2814.html", "HTML")</f>
        <v/>
      </c>
      <c r="L200">
        <f>HYPERLINK("https://raw.githubusercontent.com/marcosmapl/dataset_imigrantes/main/noticias_filtered/g1/venezuelanos/2022/03_abr/txt/g1_b5cda542-230f-11ed-b24f-6dbe51e79fca_2814.txt", "TXT")</f>
        <v/>
      </c>
    </row>
    <row r="201">
      <c r="A201" s="1" t="n">
        <v>199</v>
      </c>
      <c r="B201" t="n">
        <v>2022</v>
      </c>
      <c r="C201" s="2" t="n">
        <v>44675.78901358796</v>
      </c>
      <c r="D201" t="inlineStr">
        <is>
          <t>G1</t>
        </is>
      </c>
      <c r="E201" t="inlineStr">
        <is>
          <t>VENEZUELANOS</t>
        </is>
      </c>
      <c r="F201" t="inlineStr">
        <is>
          <t>MUNDO</t>
        </is>
      </c>
      <c r="G201" t="inlineStr">
        <is>
          <t>BBC</t>
        </is>
      </c>
      <c r="H201" t="inlineStr">
        <is>
          <t>A HISTÓRIA DO BEBÊ VENEZUELANO MORTO POR UM DISPARO DA GUARDA COSTEIRA EM TRAVESSIA PARA TRINIDAD E TOBAGO</t>
        </is>
      </c>
      <c r="I201" t="inlineStr">
        <is>
          <t>YERMI SANTOYO PAGOU A UM COIOTE PARA LEVAR SUA FAMÍLIA PARA FORA DA VENEZUELA EM UM BARCO. PORÉM, A VIAGEM TERMINOU EM TRAGÉDIA.</t>
        </is>
      </c>
      <c r="J201">
        <f>HYPERLINK("https://g1.globo.com/mundo/noticia/2022/04/24/a-historia-do-bebe-venezuelano-morto-por-um-disparo-da-guarda-costeira-em-travessia-para-trinidad-e-tobago.ghtml", "URL")</f>
        <v/>
      </c>
      <c r="K201">
        <f>HYPERLINK("https://raw.githubusercontent.com/marcosmapl/dataset_imigrantes/main/noticias_filtered/g1/venezuelanos/2022/03_abr/html/g1_ff9e3302-2310-11ed-b24f-6dbe51e79fca_2890.html", "HTML")</f>
        <v/>
      </c>
      <c r="L201">
        <f>HYPERLINK("https://raw.githubusercontent.com/marcosmapl/dataset_imigrantes/main/noticias_filtered/g1/venezuelanos/2022/03_abr/txt/g1_ff9e3302-2310-11ed-b24f-6dbe51e79fca_2890.txt", "TXT")</f>
        <v/>
      </c>
    </row>
    <row r="202">
      <c r="A202" s="1" t="n">
        <v>200</v>
      </c>
      <c r="B202" t="n">
        <v>2022</v>
      </c>
      <c r="C202" s="2" t="n">
        <v>44673.68428293982</v>
      </c>
      <c r="D202" t="inlineStr">
        <is>
          <t>G1</t>
        </is>
      </c>
      <c r="E202" t="inlineStr">
        <is>
          <t>HAITIANOS</t>
        </is>
      </c>
      <c r="F202" t="inlineStr">
        <is>
          <t>SÃO CARLOS E ARARAQUARA</t>
        </is>
      </c>
      <c r="G202" t="inlineStr">
        <is>
          <t>EPTV1</t>
        </is>
      </c>
      <c r="H202" t="inlineStr">
        <is>
          <t>APÓS INCÊNDIO EM BARRACÕES DE RIO CLARO, DEZENAS FICAM SEM EMPREGO E HAITIANOS PRECISAM DE AJUDA</t>
        </is>
      </c>
      <c r="I202" t="inlineStr">
        <is>
          <t>DEZ DAS 12 ESTRUTURAS DO LOCAL FORAM COMPLETAMENTE DESTRUÍDAS PELO FOGO, NA NOITE DE QUARTA-FEIRA (20), E RECICLADORES NÃO TÊM COMO TRABALHAR. ALGUNS TAMBÉM MORAVAM NOS BARRACÕES.</t>
        </is>
      </c>
      <c r="J202">
        <f>HYPERLINK("https://g1.globo.com/sp/sao-carlos-regiao/noticia/2022/04/22/apos-incendio-em-barracoes-de-rio-claro-dezenas-ficam-sem-emprego-e-haitianos-precisam-de-ajuda.ghtml", "URL")</f>
        <v/>
      </c>
      <c r="K202">
        <f>HYPERLINK("https://raw.githubusercontent.com/marcosmapl/dataset_imigrantes/main/noticias_filtered/g1/haitianos/2022/03_abr/html/g1_cd35b3d6-22f2-11ed-b24f-6dbe51e79fca_1814.html", "HTML")</f>
        <v/>
      </c>
      <c r="L202">
        <f>HYPERLINK("https://raw.githubusercontent.com/marcosmapl/dataset_imigrantes/main/noticias_filtered/g1/haitianos/2022/03_abr/txt/g1_cd35b3d6-22f2-11ed-b24f-6dbe51e79fca_1814.txt", "TXT")</f>
        <v/>
      </c>
    </row>
    <row r="203">
      <c r="A203" s="1" t="n">
        <v>201</v>
      </c>
      <c r="B203" t="n">
        <v>2022</v>
      </c>
      <c r="C203" s="2" t="n">
        <v>44673.64575231481</v>
      </c>
      <c r="D203" t="inlineStr">
        <is>
          <t>A CRITICA</t>
        </is>
      </c>
      <c r="E203" t="inlineStr">
        <is>
          <t>VENEZUELANOS</t>
        </is>
      </c>
      <c r="F203" t="inlineStr">
        <is>
          <t>ENTRETENIMENTO</t>
        </is>
      </c>
      <c r="G203" t="inlineStr">
        <is>
          <t>GABRIELLY GENTIL</t>
        </is>
      </c>
      <c r="H203" t="inlineStr">
        <is>
          <t>RESTAURANTES SÃO A NOVA APOSTA DOS ESPAÇOS CULTURAIS EM MANAUS</t>
        </is>
      </c>
      <c r="I203" t="inlineStr">
        <is>
          <t>CONHEÇA ALGUNS DOS LOCAIS QUE APOSTAM EM AMBIENTES GASTRONÔMICOS NA CAPITAL AMAZONENSE</t>
        </is>
      </c>
      <c r="J203">
        <f>HYPERLINK("https://www.acritica.com/entretenimento/restaurantes-s-o-a-nova-aposta-dos-espacos-culturais-em-manaus-1.250034", "URL")</f>
        <v/>
      </c>
      <c r="K203">
        <f>HYPERLINK("https://raw.githubusercontent.com/marcosmapl/dataset_imigrantes/main/noticias_filtered/a_critica/venezuelanos/2022/03_abr/html/1.250034_1233.html", "HTML")</f>
        <v/>
      </c>
      <c r="L203">
        <f>HYPERLINK("https://raw.githubusercontent.com/marcosmapl/dataset_imigrantes/main/noticias_filtered/a_critica/venezuelanos/2022/03_abr/txt/1.250034_1233.txt", "TXT")</f>
        <v/>
      </c>
    </row>
    <row r="204">
      <c r="A204" s="1" t="n">
        <v>202</v>
      </c>
      <c r="B204" t="n">
        <v>2022</v>
      </c>
      <c r="C204" s="2" t="n">
        <v>44673.59497991898</v>
      </c>
      <c r="D204" t="inlineStr">
        <is>
          <t>G1</t>
        </is>
      </c>
      <c r="E204" t="inlineStr">
        <is>
          <t>VENEZUELANOS</t>
        </is>
      </c>
      <c r="F204" t="inlineStr">
        <is>
          <t>RORAIMA</t>
        </is>
      </c>
      <c r="G204" t="inlineStr">
        <is>
          <t>G1 RR — BOA VISTA</t>
        </is>
      </c>
      <c r="H204" t="inlineStr">
        <is>
          <t>VENEZUELANO É BALEADO COM SETE TIROS APÓS DESENTENDIMENTO COM OUTRO MIGRANTE EM PRAÇA, EM BOA VISTA</t>
        </is>
      </c>
      <c r="I204" t="inlineStr">
        <is>
          <t>VÍTIMA, DE 24 ANOS, FOI ENCAMINHADA AO HGR, ONDE FOI CONTATADO QUE ELE FOI ATINGIDO NAS PERNAS, OMBRO, PESCOÇO E NÁDEGAS. SUSPEITO DOS DISPAROS FUGIU E NÃO FOI IDENTIFICADO.</t>
        </is>
      </c>
      <c r="J204">
        <f>HYPERLINK("https://g1.globo.com/rr/roraima/noticia/2022/04/22/venezuelano-e-baleado-com-sete-tiros-apos-desentendimento-com-outro-migrante-em-praca-em-boa-vista.ghtml", "URL")</f>
        <v/>
      </c>
      <c r="K204">
        <f>HYPERLINK("https://raw.githubusercontent.com/marcosmapl/dataset_imigrantes/main/noticias_filtered/g1/venezuelanos/2022/03_abr/html/g1_4a86bd44-232a-11ed-b24f-6dbe51e79fca_4169.html", "HTML")</f>
        <v/>
      </c>
      <c r="L204">
        <f>HYPERLINK("https://raw.githubusercontent.com/marcosmapl/dataset_imigrantes/main/noticias_filtered/g1/venezuelanos/2022/03_abr/txt/g1_4a86bd44-232a-11ed-b24f-6dbe51e79fca_4169.txt", "TXT")</f>
        <v/>
      </c>
    </row>
    <row r="205">
      <c r="A205" s="1" t="n">
        <v>203</v>
      </c>
      <c r="B205" t="n">
        <v>2022</v>
      </c>
      <c r="C205" s="2" t="n">
        <v>44670.54166666666</v>
      </c>
      <c r="D205" t="inlineStr">
        <is>
          <t>PORTAL AMAZONIA</t>
        </is>
      </c>
      <c r="E205" t="inlineStr">
        <is>
          <t>VENEZUELANOS</t>
        </is>
      </c>
      <c r="F205" t="inlineStr">
        <is>
          <t>AMAZÔNIA,AMAZÔNIA INTERNACIONAL</t>
        </is>
      </c>
      <c r="G205" t="inlineStr">
        <is>
          <t>REDAÇÃO - JORNALISMO@PORTALAMAZONIA.COM</t>
        </is>
      </c>
      <c r="H205" t="inlineStr">
        <is>
          <t>MAIORIA DA POPULAÇÃO INDÍGENA VENEZUELANA SE REFUGIA EM RORAIMA, AMAZONAS E PARÁ, INFORMA ACNUR</t>
        </is>
      </c>
      <c r="I205" t="inlineStr">
        <is>
          <t>A AGÊNCIA DA ONU PARA REFUGIADOS (ACNUR) NO BRASIL ESTIMA QUE EXISTAM MAIS DE 7 MIL INDÍGENAS VENEZUELANOS NO TERRITÓRIO BRASILEIRO, SENDO QUE 819 JÁ FORAM RECONHECIDOS COMO REFUGIADOS PELO GOVERNO FEDERAL.</t>
        </is>
      </c>
      <c r="J205">
        <f>HYPERLINK("https://portalamazonia.com/amazonia/maioria-da-populacao-indigena-venezuelana-se-refugia-em-roraima-amazonas-e-para-informa-acnur", "URL")</f>
        <v/>
      </c>
      <c r="K205">
        <f>HYPERLINK("https://raw.githubusercontent.com/marcosmapl/dataset_imigrantes/main/noticias_filtered/portal_amazonia/venezuelanos/2022/03_abr/html/35504.86380_1405.html", "HTML")</f>
        <v/>
      </c>
      <c r="L205">
        <f>HYPERLINK("https://raw.githubusercontent.com/marcosmapl/dataset_imigrantes/main/noticias_filtered/portal_amazonia/venezuelanos/2022/03_abr/txt/35504.86380_1405.txt", "TXT")</f>
        <v/>
      </c>
    </row>
    <row r="206">
      <c r="A206" s="1" t="n">
        <v>204</v>
      </c>
      <c r="B206" t="n">
        <v>2022</v>
      </c>
      <c r="C206" s="2" t="n">
        <v>44670.33680555555</v>
      </c>
      <c r="D206" t="inlineStr">
        <is>
          <t>PORTAL AMAZONIA</t>
        </is>
      </c>
      <c r="E206" t="inlineStr">
        <is>
          <t>VENEZUELANOS</t>
        </is>
      </c>
      <c r="F206" t="inlineStr">
        <is>
          <t>AMAZÔNIA,ARTE</t>
        </is>
      </c>
      <c r="G206" t="inlineStr">
        <is>
          <t>DIEGO OLIVEIRA - JORNALISMO@PORTALAMAZONIA.COM</t>
        </is>
      </c>
      <c r="H206" t="inlineStr">
        <is>
          <t>NOVE PRODUÇÕES PARA CONHECER A LUTA DOS POVOS ORIGINÁRIOS DA AMAZÔNIA</t>
        </is>
      </c>
      <c r="I206" t="inlineStr">
        <is>
          <t>PRINCIPAIS OBSTÁCULOS QUE OS INDÍGENAS DA AMAZÔNIA ENFRENTAM PARA MANTER SUA CULTURA SÃO EXPOSTOS EM PRODUÇÕES QUE BUSCAM DAR VISIBILIDADE AOS POVOS ORIGINÁRIOS.</t>
        </is>
      </c>
      <c r="J206">
        <f>HYPERLINK("https://portalamazonia.com/amazonia/nove-producoes-para-conhecer-a-luta-dos-povos-originarios-da-amazonia", "URL")</f>
        <v/>
      </c>
      <c r="K206">
        <f>HYPERLINK("https://raw.githubusercontent.com/marcosmapl/dataset_imigrantes/main/noticias_filtered/portal_amazonia/venezuelanos/2022/03_abr/html/35461.86371_1474.html", "HTML")</f>
        <v/>
      </c>
      <c r="L206">
        <f>HYPERLINK("https://raw.githubusercontent.com/marcosmapl/dataset_imigrantes/main/noticias_filtered/portal_amazonia/venezuelanos/2022/03_abr/txt/35461.86371_1474.txt", "TXT")</f>
        <v/>
      </c>
    </row>
    <row r="207">
      <c r="A207" s="1" t="n">
        <v>205</v>
      </c>
      <c r="B207" t="n">
        <v>2022</v>
      </c>
      <c r="C207" s="2" t="n">
        <v>44669.83007635417</v>
      </c>
      <c r="D207" t="inlineStr">
        <is>
          <t>G1</t>
        </is>
      </c>
      <c r="E207" t="inlineStr">
        <is>
          <t>VENEZUELANOS</t>
        </is>
      </c>
      <c r="F207" t="inlineStr">
        <is>
          <t>ECONOMIA</t>
        </is>
      </c>
      <c r="G207" t="inlineStr">
        <is>
          <t>BBC</t>
        </is>
      </c>
      <c r="H207" t="inlineStr">
        <is>
          <t>INFLAÇÃO ACELERADA APROXIMA ARGENTINA DA VENEZUELA</t>
        </is>
      </c>
      <c r="I207" t="inlineStr">
        <is>
          <t>ÍNDICE MENSAL ATINGIU MAIOR VALOR EM DUAS DÉCADAS NO ÚLTIMO MÊS DE MARÇO.</t>
        </is>
      </c>
      <c r="J207">
        <f>HYPERLINK("https://g1.globo.com/economia/noticia/2022/04/18/inflacao-acelerada-aproxima-argentina-da-venezuela.ghtml", "URL")</f>
        <v/>
      </c>
      <c r="K207">
        <f>HYPERLINK("https://raw.githubusercontent.com/marcosmapl/dataset_imigrantes/main/noticias_filtered/g1/venezuelanos/2022/03_abr/html/g1_d6120c6c-2323-11ed-b24f-6dbe51e79fca_3831.html", "HTML")</f>
        <v/>
      </c>
      <c r="L207">
        <f>HYPERLINK("https://raw.githubusercontent.com/marcosmapl/dataset_imigrantes/main/noticias_filtered/g1/venezuelanos/2022/03_abr/txt/g1_d6120c6c-2323-11ed-b24f-6dbe51e79fca_3831.txt", "TXT")</f>
        <v/>
      </c>
    </row>
    <row r="208">
      <c r="A208" s="1" t="n">
        <v>206</v>
      </c>
      <c r="B208" t="n">
        <v>2022</v>
      </c>
      <c r="C208" s="2" t="n">
        <v>44668.33333333334</v>
      </c>
      <c r="D208" t="inlineStr">
        <is>
          <t>PORTAL AMAZONIA</t>
        </is>
      </c>
      <c r="E208" t="inlineStr">
        <is>
          <t>VENEZUELANOS</t>
        </is>
      </c>
      <c r="F208" t="inlineStr">
        <is>
          <t>ARTE</t>
        </is>
      </c>
      <c r="G208" t="inlineStr">
        <is>
          <t>DIEGO OLIVEIRA - JORNALISMO@PORTALAMAZONIA.COM</t>
        </is>
      </c>
      <c r="H208" t="inlineStr">
        <is>
          <t>&amp;QUOT;ISSO É CALYPSO!&amp;QUOT;: ASSISTA HOMENAGEM DE ESCOLA DE DANÇA PARA JOELMA</t>
        </is>
      </c>
      <c r="I208" t="inlineStr">
        <is>
          <t>AO TODO, FORAM TRÊS SEMANAS DE PRÉ-PRODUÇÃO E QUATRO ENSAIOS PARA PREPARAR OS 60 BAILARINOS QUE PARTICIPARAM DA PERFORMANCE EM HOMENAGEM A CANTORA PARAENSE.</t>
        </is>
      </c>
      <c r="J208">
        <f>HYPERLINK("https://portalamazonia.com/cultura/arte/isso-e-calypso-escola-de-danca-homenageia-joelma-em-video-assista", "URL")</f>
        <v/>
      </c>
      <c r="K208">
        <f>HYPERLINK("https://raw.githubusercontent.com/marcosmapl/dataset_imigrantes/main/noticias_filtered/portal_amazonia/venezuelanos/2022/03_abr/html/35478.86339_1544.html", "HTML")</f>
        <v/>
      </c>
      <c r="L208">
        <f>HYPERLINK("https://raw.githubusercontent.com/marcosmapl/dataset_imigrantes/main/noticias_filtered/portal_amazonia/venezuelanos/2022/03_abr/txt/35478.86339_1544.txt", "TXT")</f>
        <v/>
      </c>
    </row>
    <row r="209">
      <c r="A209" s="1" t="n">
        <v>207</v>
      </c>
      <c r="B209" t="n">
        <v>2022</v>
      </c>
      <c r="C209" s="2" t="n">
        <v>44667.64839565972</v>
      </c>
      <c r="D209" t="inlineStr">
        <is>
          <t>G1</t>
        </is>
      </c>
      <c r="E209" t="inlineStr">
        <is>
          <t>VENEZUELANOS</t>
        </is>
      </c>
      <c r="F209" t="inlineStr">
        <is>
          <t>SANTARÉM E REGIÃO</t>
        </is>
      </c>
      <c r="G209" t="inlineStr">
        <is>
          <t>G1 SANTARÉM E REGIÃO — PA</t>
        </is>
      </c>
      <c r="H209" t="inlineStr">
        <is>
          <t>DECRETO DE EMERGÊNCIA SOCIAL BUSCA RECURSOS PARA MANTER ATENDIMENTOS A REFUGIADOS VENEZUELANOS EM SANTARÉM</t>
        </is>
      </c>
      <c r="I209" t="inlineStr">
        <is>
          <t>PROTOCOLO FOI ENVIADO AO SETOR DE IMIGRAÇÃO DO MINISTÉRIO DA CIDADANIA PARA QUE OS RECURSOS POSSAM SER RECEBIDOS E DESTINADOS À EXECUÇÃO DAS ATIVIDADES.</t>
        </is>
      </c>
      <c r="J209">
        <f>HYPERLINK("https://g1.globo.com/pa/santarem-regiao/noticia/2022/04/16/decreto-de-emergencia-social-busca-recursos-para-manter-atendimentos-a-refugiados-venezuelanos-em-santarem.ghtml", "URL")</f>
        <v/>
      </c>
      <c r="K209">
        <f>HYPERLINK("https://raw.githubusercontent.com/marcosmapl/dataset_imigrantes/main/noticias_filtered/g1/venezuelanos/2022/03_abr/html/g1_17d89f3c-2309-11ed-b24f-6dbe51e79fca_2425.html", "HTML")</f>
        <v/>
      </c>
      <c r="L209">
        <f>HYPERLINK("https://raw.githubusercontent.com/marcosmapl/dataset_imigrantes/main/noticias_filtered/g1/venezuelanos/2022/03_abr/txt/g1_17d89f3c-2309-11ed-b24f-6dbe51e79fca_2425.txt", "TXT")</f>
        <v/>
      </c>
    </row>
    <row r="210">
      <c r="A210" s="1" t="n">
        <v>208</v>
      </c>
      <c r="B210" t="n">
        <v>2022</v>
      </c>
      <c r="C210" s="2" t="n">
        <v>44666.66670032407</v>
      </c>
      <c r="D210" t="inlineStr">
        <is>
          <t>G1</t>
        </is>
      </c>
      <c r="E210" t="inlineStr">
        <is>
          <t>VENEZUELANOS</t>
        </is>
      </c>
      <c r="F210" t="inlineStr">
        <is>
          <t>RORAIMA</t>
        </is>
      </c>
      <c r="G210" t="inlineStr">
        <is>
          <t>G1 RR — BOA VISTA</t>
        </is>
      </c>
      <c r="H210" t="inlineStr">
        <is>
          <t>TRIBUNAL DE CONTAS DETERMINA QUE IBGE INCLUA INDÍGENAS E MIGRANTES VENEZUELANOS NA PENAD DE RR</t>
        </is>
      </c>
      <c r="I210" t="inlineStr">
        <is>
          <t>PESQUISA NACIONAL POR AMOSTRA DOMICILIAR CONTÍNUA (PNAD) DEFINE A RENDA DOMICILIAR PER CAPITA DE CADA ESTADO E APONTA OS VALORES QUE O ESTADO RECEBE DO FUNDO DE PARTICIPAÇÃO ESTADUAL (FPE). DECISÃO OCORREU APÓS PEDIDO DO GOVERNO DE RORAIMA.</t>
        </is>
      </c>
      <c r="J210">
        <f>HYPERLINK("https://g1.globo.com/rr/roraima/noticia/2022/04/15/tribunal-de-contas-determina-que-ibge-inclua-indigenas-e-migrantes-venezuelanos-na-penad-de-rr.ghtml", "URL")</f>
        <v/>
      </c>
      <c r="K210">
        <f>HYPERLINK("https://raw.githubusercontent.com/marcosmapl/dataset_imigrantes/main/noticias_filtered/g1/venezuelanos/2022/03_abr/html/g1_931455b8-2324-11ed-b24f-6dbe51e79fca_3878.html", "HTML")</f>
        <v/>
      </c>
      <c r="L210">
        <f>HYPERLINK("https://raw.githubusercontent.com/marcosmapl/dataset_imigrantes/main/noticias_filtered/g1/venezuelanos/2022/03_abr/txt/g1_931455b8-2324-11ed-b24f-6dbe51e79fca_3878.txt", "TXT")</f>
        <v/>
      </c>
    </row>
    <row r="211">
      <c r="A211" s="1" t="n">
        <v>209</v>
      </c>
      <c r="B211" t="n">
        <v>2022</v>
      </c>
      <c r="C211" s="2" t="n">
        <v>44666.599375</v>
      </c>
      <c r="D211" t="inlineStr">
        <is>
          <t>A CRITICA</t>
        </is>
      </c>
      <c r="E211" t="inlineStr">
        <is>
          <t>VENEZUELANOS</t>
        </is>
      </c>
      <c r="F211" t="inlineStr">
        <is>
          <t>ESPORTES</t>
        </is>
      </c>
      <c r="G211" t="inlineStr">
        <is>
          <t>JOÃO FELIPE</t>
        </is>
      </c>
      <c r="H211" t="inlineStr">
        <is>
          <t>AMAZONAS FC TEM REFORÇO INTERNACIONAL PARA O ATAQUE NA SÉRIE D</t>
        </is>
      </c>
      <c r="I211" t="inlineStr">
        <is>
          <t>O ATACANTE VENEZUELANO FREYN FIGUEROA, DE 23 ANOS, FOI ANUNCIADO PELO CLUBE NA NOITE DESTA QUINTA-FEIRA (14)</t>
        </is>
      </c>
      <c r="J211">
        <f>HYPERLINK("https://www.acritica.com/esportes/amazonas-fc-tem-reforco-internacional-para-o-ataque-na-serie-d-1.249445", "URL")</f>
        <v/>
      </c>
      <c r="K211">
        <f>HYPERLINK("https://raw.githubusercontent.com/marcosmapl/dataset_imigrantes/main/noticias_filtered/a_critica/venezuelanos/2022/03_abr/html/1.249445_628.html", "HTML")</f>
        <v/>
      </c>
      <c r="L211">
        <f>HYPERLINK("https://raw.githubusercontent.com/marcosmapl/dataset_imigrantes/main/noticias_filtered/a_critica/venezuelanos/2022/03_abr/txt/1.249445_628.txt", "TXT")</f>
        <v/>
      </c>
    </row>
    <row r="212">
      <c r="A212" s="1" t="n">
        <v>210</v>
      </c>
      <c r="B212" t="n">
        <v>2022</v>
      </c>
      <c r="C212" s="2" t="n">
        <v>44664.64336753472</v>
      </c>
      <c r="D212" t="inlineStr">
        <is>
          <t>G1</t>
        </is>
      </c>
      <c r="E212" t="inlineStr">
        <is>
          <t>VENEZUELANOS</t>
        </is>
      </c>
      <c r="F212" t="inlineStr">
        <is>
          <t>RORAIMA</t>
        </is>
      </c>
      <c r="G212" t="inlineStr">
        <is>
          <t>G1 RR — BOA VISTA</t>
        </is>
      </c>
      <c r="H212" t="inlineStr">
        <is>
          <t>HOMEM É PRESO POR MORTE DE VENEZUELANO BALEADO ENQUANTO EXTRAIA MADEIRA NO INTERIOR DE RR</t>
        </is>
      </c>
      <c r="I212" t="inlineStr">
        <is>
          <t>O CRIME OCORREU NO DIA 7 DE FEVEREIRO, EM UMA PROPRIEDADE NA VICINAL 21, VILA PAU BRASIL, NO MUNICÍPIO DO CANTÁ. A VÍTIMA, ANDRU JESUS KEI PIAMO, MORREU NO LOCAL.</t>
        </is>
      </c>
      <c r="J212">
        <f>HYPERLINK("https://g1.globo.com/rr/roraima/noticia/2022/04/13/homem-e-preso-por-morte-de-venezuelano-baleado-enquanto-extraia-madeira-no-interior-de-rr.ghtml", "URL")</f>
        <v/>
      </c>
      <c r="K212">
        <f>HYPERLINK("https://raw.githubusercontent.com/marcosmapl/dataset_imigrantes/main/noticias_filtered/g1/venezuelanos/2022/03_abr/html/g1_37d3550a-2324-11ed-b24f-6dbe51e79fca_3856.html", "HTML")</f>
        <v/>
      </c>
      <c r="L212">
        <f>HYPERLINK("https://raw.githubusercontent.com/marcosmapl/dataset_imigrantes/main/noticias_filtered/g1/venezuelanos/2022/03_abr/txt/g1_37d3550a-2324-11ed-b24f-6dbe51e79fca_3856.txt", "TXT")</f>
        <v/>
      </c>
    </row>
    <row r="213">
      <c r="A213" s="1" t="n">
        <v>211</v>
      </c>
      <c r="B213" t="n">
        <v>2022</v>
      </c>
      <c r="C213" s="2" t="n">
        <v>44663.60931188658</v>
      </c>
      <c r="D213" t="inlineStr">
        <is>
          <t>G1</t>
        </is>
      </c>
      <c r="E213" t="inlineStr">
        <is>
          <t>VENEZUELANOS</t>
        </is>
      </c>
      <c r="F213" t="inlineStr">
        <is>
          <t>RORAIMA</t>
        </is>
      </c>
      <c r="G213" t="inlineStr">
        <is>
          <t>G1 RR — BOA VISTA</t>
        </is>
      </c>
      <c r="H213" t="inlineStr">
        <is>
          <t>FORAGIDO POR SUSPEITA DE MATAR O PAI EM RORAIMA É PRESO PELA INTERPOL NA VENEZUELA</t>
        </is>
      </c>
      <c r="I213" t="inlineStr">
        <is>
          <t>O VENEZUELANO, DE 19 ANOS, É PRINCIPAL SUSPEITO DO ASSASSINATO DO PRÓPRIO PAI, CEZAR BENN. ELE FOI PRESO NO ESTADO DE ARAGUA, NA VENEZUELA, APÓS UMA ABORDAGEM NO SETOR LAS PARCELAS DE EL ROBLE, NA CIDADE DE SAN FÉLIX.</t>
        </is>
      </c>
      <c r="J213">
        <f>HYPERLINK("https://g1.globo.com/rr/roraima/noticia/2022/04/12/foragido-por-suspeita-de-matar-o-pai-em-roraima-e-preso-pela-interpol-na-venezuela.ghtml", "URL")</f>
        <v/>
      </c>
      <c r="K213">
        <f>HYPERLINK("https://raw.githubusercontent.com/marcosmapl/dataset_imigrantes/main/noticias_filtered/g1/venezuelanos/2022/03_abr/html/g1_b4703136-2316-11ed-b24f-6dbe51e79fca_3164.html", "HTML")</f>
        <v/>
      </c>
      <c r="L213">
        <f>HYPERLINK("https://raw.githubusercontent.com/marcosmapl/dataset_imigrantes/main/noticias_filtered/g1/venezuelanos/2022/03_abr/txt/g1_b4703136-2316-11ed-b24f-6dbe51e79fca_3164.txt", "TXT")</f>
        <v/>
      </c>
    </row>
    <row r="214">
      <c r="A214" s="1" t="n">
        <v>212</v>
      </c>
      <c r="B214" t="n">
        <v>2022</v>
      </c>
      <c r="C214" s="2" t="n">
        <v>44663.56956350694</v>
      </c>
      <c r="D214" t="inlineStr">
        <is>
          <t>G1</t>
        </is>
      </c>
      <c r="E214" t="inlineStr">
        <is>
          <t>VENEZUELANOS</t>
        </is>
      </c>
      <c r="F214" t="inlineStr">
        <is>
          <t>RORAIMA</t>
        </is>
      </c>
      <c r="G214" t="inlineStr">
        <is>
          <t>YARA RAMALHO, G1 RR — BOA VISTA</t>
        </is>
      </c>
      <c r="H214" t="inlineStr">
        <is>
          <t>FUNAI DIZ QUE DESCONHECE ESTUDO COM RELATOS DE ABUSO DE MENINAS YANOMAMI E ATRIBUI AUMENTO DE GARIMPO À MIGRAÇÃO VENEZUELANA</t>
        </is>
      </c>
      <c r="I214" t="inlineStr">
        <is>
          <t>RELATÓRIO FOI DIVULGADO PELA HUTUKARA ASSOCIAÇÃO YANOMAMI (HAY) NESTA SEGUNDA-FEIRA (11). ENTIDADE AINDA NÃO SE PRONUNCIOU SOBRE A MANIFESTAÇÃO DA FUNDAÇÃO NACIONAL DO ÍNDIO.</t>
        </is>
      </c>
      <c r="J214">
        <f>HYPERLINK("https://g1.globo.com/rr/roraima/noticia/2022/04/12/funai-nao-reconhece-estudo-com-relatos-de-abuso-de-meninas-yanomami-e-atribuiu-aumento-de-garimpo-a-migracao-venezuelana.ghtml", "URL")</f>
        <v/>
      </c>
      <c r="K214">
        <f>HYPERLINK("https://raw.githubusercontent.com/marcosmapl/dataset_imigrantes/main/noticias_filtered/g1/venezuelanos/2022/03_abr/html/g1_ec37034a-2318-11ed-b24f-6dbe51e79fca_3288.html", "HTML")</f>
        <v/>
      </c>
      <c r="L214">
        <f>HYPERLINK("https://raw.githubusercontent.com/marcosmapl/dataset_imigrantes/main/noticias_filtered/g1/venezuelanos/2022/03_abr/txt/g1_ec37034a-2318-11ed-b24f-6dbe51e79fca_3288.txt", "TXT")</f>
        <v/>
      </c>
    </row>
    <row r="215">
      <c r="A215" s="1" t="n">
        <v>213</v>
      </c>
      <c r="B215" t="n">
        <v>2022</v>
      </c>
      <c r="C215" s="2" t="n">
        <v>44662.625</v>
      </c>
      <c r="D215" t="inlineStr">
        <is>
          <t>PORTAL AMAZONIA</t>
        </is>
      </c>
      <c r="E215" t="inlineStr">
        <is>
          <t>VENEZUELANOS</t>
        </is>
      </c>
      <c r="F215" t="inlineStr">
        <is>
          <t>AMAZÔNIA INTERNACIONAL</t>
        </is>
      </c>
      <c r="G215" t="inlineStr">
        <is>
          <t>ISABELLE LIMA - ISABELLE.LIMA@AMAZONSAT.COM.BR</t>
        </is>
      </c>
      <c r="H215" t="inlineStr">
        <is>
          <t>YANOMAMIUS: CONHEÇA NOVO GÊNERO DE ARANHAS QUE HOMENAGEIA POVO INDÍGENA</t>
        </is>
      </c>
      <c r="I215" t="inlineStr">
        <is>
          <t>FORAM DESCRITAS TRÊS NOVAS ESPÉCIES DE ARANHAS QUE SÃO ENCONTRADAS NA AMAZÔNIA INTERNACIONAL.</t>
        </is>
      </c>
      <c r="J215">
        <f>HYPERLINK("https://portalamazonia.com/estados/amazonia-internacional/yanomamius-conheca-novo-genero-de-aranhas-que-homenageia-povo-indigena", "URL")</f>
        <v/>
      </c>
      <c r="K215">
        <f>HYPERLINK("https://raw.githubusercontent.com/marcosmapl/dataset_imigrantes/main/noticias_filtered/portal_amazonia/venezuelanos/2022/03_abr/html/35433.86192_1600.html", "HTML")</f>
        <v/>
      </c>
      <c r="L215">
        <f>HYPERLINK("https://raw.githubusercontent.com/marcosmapl/dataset_imigrantes/main/noticias_filtered/portal_amazonia/venezuelanos/2022/03_abr/txt/35433.86192_1600.txt", "TXT")</f>
        <v/>
      </c>
    </row>
    <row r="216">
      <c r="A216" s="1" t="n">
        <v>214</v>
      </c>
      <c r="B216" t="n">
        <v>2022</v>
      </c>
      <c r="C216" s="2" t="n">
        <v>44659.43937409722</v>
      </c>
      <c r="D216" t="inlineStr">
        <is>
          <t>G1</t>
        </is>
      </c>
      <c r="E216" t="inlineStr">
        <is>
          <t>HAITIANOS</t>
        </is>
      </c>
      <c r="F216" t="inlineStr">
        <is>
          <t>RIO GRANDE DO NORTE</t>
        </is>
      </c>
      <c r="G216" t="inlineStr">
        <is>
          <t>G1 RN</t>
        </is>
      </c>
      <c r="H216" t="inlineStr">
        <is>
          <t>HAITIANAS QUE TENTAVAM EMBARCAR PARA EUROPA COM PASSAPORTES FURTADOS SÃO PRESAS PELA PF EM NATAL</t>
        </is>
      </c>
      <c r="I216" t="inlineStr">
        <is>
          <t>CASO ACONTECEU NA MADRUGADA DE QUINTA-FEIRA (7), SEGUNDO A CORPORAÇÃO. MULHERES TENTAVAM SEGUIR VIAGEM PARA A FRANÇA.</t>
        </is>
      </c>
      <c r="J216">
        <f>HYPERLINK("https://g1.globo.com/rn/rio-grande-do-norte/noticia/2022/04/08/haitianas-que-tentavam-embarcar-para-europa-com-passaportes-furtados-sao-presas-pela-pf-em-natal.ghtml", "URL")</f>
        <v/>
      </c>
      <c r="K216">
        <f>HYPERLINK("https://raw.githubusercontent.com/marcosmapl/dataset_imigrantes/main/noticias_filtered/g1/haitianos/2022/03_abr/html/g1_3fb6b928-2325-11ed-b24f-6dbe51e79fca_3903.html", "HTML")</f>
        <v/>
      </c>
      <c r="L216">
        <f>HYPERLINK("https://raw.githubusercontent.com/marcosmapl/dataset_imigrantes/main/noticias_filtered/g1/haitianos/2022/03_abr/txt/g1_3fb6b928-2325-11ed-b24f-6dbe51e79fca_3903.txt", "TXT")</f>
        <v/>
      </c>
    </row>
    <row r="217">
      <c r="A217" s="1" t="n">
        <v>215</v>
      </c>
      <c r="B217" t="n">
        <v>2022</v>
      </c>
      <c r="C217" s="2" t="n">
        <v>44650.58270983796</v>
      </c>
      <c r="D217" t="inlineStr">
        <is>
          <t>G1</t>
        </is>
      </c>
      <c r="E217" t="inlineStr">
        <is>
          <t>VENEZUELANOS</t>
        </is>
      </c>
      <c r="F217" t="inlineStr">
        <is>
          <t>PERNAMBUCO</t>
        </is>
      </c>
      <c r="G217" t="inlineStr">
        <is>
          <t>G1 PE</t>
        </is>
      </c>
      <c r="H217" t="inlineStr">
        <is>
          <t>COLOMBIANO É PRESO NO AEROPORTO DO RECIFE COM UM QUILO DE COCAÍNA NA BAGAGEM DE MÃO; DROGA SERIA ENTREGUE NA FRANÇA</t>
        </is>
      </c>
      <c r="I217" t="inlineStr">
        <is>
          <t>SEGUNDO A POLÍCIA FEDERAL, ELE SAIU DE BOGOTÁ COM O ENTORPECENTE ENTREGUE POR UM VENEZUELANO E ENTROU NO BRASIL PELO AMAZONAS. DO RECIFE, IRIA PARA LISBOA, DE ONDE SEGUIRIA PARA PARIS.</t>
        </is>
      </c>
      <c r="J217">
        <f>HYPERLINK("https://g1.globo.com/pe/pernambuco/noticia/2022/03/30/colombiano-e-preso-no-aeroporto-do-recife-com-um-quilo-de-cocaina-na-bagagem-de-mao-diz-pf.ghtml", "URL")</f>
        <v/>
      </c>
      <c r="K217">
        <f>HYPERLINK("https://raw.githubusercontent.com/marcosmapl/dataset_imigrantes/main/noticias_filtered/g1/venezuelanos/2022/02_mar/html/g1_49513ada-230c-11ed-b24f-6dbe51e79fca_2615.html", "HTML")</f>
        <v/>
      </c>
      <c r="L217">
        <f>HYPERLINK("https://raw.githubusercontent.com/marcosmapl/dataset_imigrantes/main/noticias_filtered/g1/venezuelanos/2022/02_mar/txt/g1_49513ada-230c-11ed-b24f-6dbe51e79fca_2615.txt", "TXT")</f>
        <v/>
      </c>
    </row>
    <row r="218">
      <c r="A218" s="1" t="n">
        <v>216</v>
      </c>
      <c r="B218" t="n">
        <v>2022</v>
      </c>
      <c r="C218" s="2" t="n">
        <v>44650.37185185185</v>
      </c>
      <c r="D218" t="inlineStr">
        <is>
          <t>A CRITICA</t>
        </is>
      </c>
      <c r="E218" t="inlineStr">
        <is>
          <t>VENEZUELANOS</t>
        </is>
      </c>
      <c r="F218" t="inlineStr">
        <is>
          <t>OPINIAO</t>
        </is>
      </c>
      <c r="G218" t="inlineStr"/>
      <c r="H218" t="inlineStr">
        <is>
          <t>MUDANÇA PARA O MESMO</t>
        </is>
      </c>
      <c r="I218" t="inlineStr"/>
      <c r="J218">
        <f>HYPERLINK("https://www.acritica.com/opiniao/mudanca-para-o-mesmo-1.247894", "URL")</f>
        <v/>
      </c>
      <c r="K218">
        <f>HYPERLINK("https://raw.githubusercontent.com/marcosmapl/dataset_imigrantes/main/noticias_filtered/a_critica/venezuelanos/2022/02_mar/html/1.247894_766.html", "HTML")</f>
        <v/>
      </c>
      <c r="L218">
        <f>HYPERLINK("https://raw.githubusercontent.com/marcosmapl/dataset_imigrantes/main/noticias_filtered/a_critica/venezuelanos/2022/02_mar/txt/1.247894_766.txt", "TXT")</f>
        <v/>
      </c>
    </row>
    <row r="219">
      <c r="A219" s="1" t="n">
        <v>217</v>
      </c>
      <c r="B219" t="n">
        <v>2022</v>
      </c>
      <c r="C219" s="2" t="n">
        <v>44648.92488128472</v>
      </c>
      <c r="D219" t="inlineStr">
        <is>
          <t>G1</t>
        </is>
      </c>
      <c r="E219" t="inlineStr">
        <is>
          <t>VENEZUELANOS</t>
        </is>
      </c>
      <c r="F219" t="inlineStr">
        <is>
          <t>CENTRO-OESTE</t>
        </is>
      </c>
      <c r="G219" t="inlineStr">
        <is>
          <t>ANNA LÚCIA SILVA, G1 CENTRO-OESTE DE MINAS — DIVINÓPOLIS</t>
        </is>
      </c>
      <c r="H219" t="inlineStr">
        <is>
          <t>TÉCNICOS SÃO CAPACITADOS PARA ATENDER FAMÍLIAS VENEZUELANAS INDÍGENAS EM DIVINÓPOLIS; SAIBA COMO ELES VIVEM NA CIDADE</t>
        </is>
      </c>
      <c r="I219" t="inlineStr">
        <is>
          <t>ALGUMAS FAMÍLIAS DA ETNIA WARAO CHEGARAM AO MUNICÍPIO NO INÍCIO DESTE ANO, MAS PARTE DELES JÁ FOI PARA BELO HORIZONTE, FORMIGA E OUTRAS CIDADES DA REGIÃO EM BUSCA DE TRABALHO E LEGALIZAÇÃO JUNTO À POLÍCIA FEDERAL; VEJA O QUE DISSE A PREFEITURA E ENTENDA A SITUAÇÃO DA VENEZUELA.</t>
        </is>
      </c>
      <c r="J219">
        <f>HYPERLINK("https://g1.globo.com/mg/centro-oeste/noticia/2022/03/28/tecnicos-sao-capacitados-para-atender-familias-venezuelanas-indigenas-em-divinopolis-saiba-como-eles-vivem-na-cidade.ghtml", "URL")</f>
        <v/>
      </c>
      <c r="K219">
        <f>HYPERLINK("https://raw.githubusercontent.com/marcosmapl/dataset_imigrantes/main/noticias_filtered/g1/venezuelanos/2022/02_mar/html/g1_e0f4fd3a-230d-11ed-b24f-6dbe51e79fca_2711.html", "HTML")</f>
        <v/>
      </c>
      <c r="L219">
        <f>HYPERLINK("https://raw.githubusercontent.com/marcosmapl/dataset_imigrantes/main/noticias_filtered/g1/venezuelanos/2022/02_mar/txt/g1_e0f4fd3a-230d-11ed-b24f-6dbe51e79fca_2711.txt", "TXT")</f>
        <v/>
      </c>
    </row>
    <row r="220">
      <c r="A220" s="1" t="n">
        <v>218</v>
      </c>
      <c r="B220" t="n">
        <v>2022</v>
      </c>
      <c r="C220" s="2" t="n">
        <v>44648.89950175926</v>
      </c>
      <c r="D220" t="inlineStr">
        <is>
          <t>G1</t>
        </is>
      </c>
      <c r="E220" t="inlineStr">
        <is>
          <t>VENEZUELANOS</t>
        </is>
      </c>
      <c r="F220" t="inlineStr">
        <is>
          <t>CEARÁ</t>
        </is>
      </c>
      <c r="G220" t="inlineStr">
        <is>
          <t>G1 CE</t>
        </is>
      </c>
      <c r="H220" t="inlineStr">
        <is>
          <t>CRIANÇA DE 5 ANOS E TURISTA VENEZUELANO SÃO SALVOS DE AFOGAMENTO NAS PRAIAS DO CEARÁ; VEJA BALANÇO DO FIM DE SEMANA</t>
        </is>
      </c>
      <c r="I220" t="inlineStr">
        <is>
          <t>DE ACORDO COM O CORPO DE BOMBEIROS FORAM REALIZADAS 623 PREVENÇÕES, ENTRE A SEXTA-FEIRA (25) E DOMINGO (27) E 905 AÇÕES PREVENTIVAS NAS CIDADES DE ARACATI, JIJOCA DE JERICOACOARA E CAUCAIA.</t>
        </is>
      </c>
      <c r="J220">
        <f>HYPERLINK("https://g1.globo.com/ce/ceara/noticia/2022/03/28/crianca-de-5-anos-e-turista-venezuelano-sao-salvos-de-afogamento-nas-praias-do-ceara-veja-balanco-do-fim-de-semana.ghtml", "URL")</f>
        <v/>
      </c>
      <c r="K220">
        <f>HYPERLINK("https://raw.githubusercontent.com/marcosmapl/dataset_imigrantes/main/noticias_filtered/g1/venezuelanos/2022/02_mar/html/g1_77774920-2318-11ed-b24f-6dbe51e79fca_3262.html", "HTML")</f>
        <v/>
      </c>
      <c r="L220">
        <f>HYPERLINK("https://raw.githubusercontent.com/marcosmapl/dataset_imigrantes/main/noticias_filtered/g1/venezuelanos/2022/02_mar/txt/g1_77774920-2318-11ed-b24f-6dbe51e79fca_3262.txt", "TXT")</f>
        <v/>
      </c>
    </row>
    <row r="221">
      <c r="A221" s="1" t="n">
        <v>219</v>
      </c>
      <c r="B221" t="n">
        <v>2022</v>
      </c>
      <c r="C221" s="2" t="n">
        <v>44646.62904053241</v>
      </c>
      <c r="D221" t="inlineStr">
        <is>
          <t>G1</t>
        </is>
      </c>
      <c r="E221" t="inlineStr">
        <is>
          <t>VENEZUELANOS</t>
        </is>
      </c>
      <c r="F221" t="inlineStr">
        <is>
          <t>TRIÂNGULO E ALTO PARANAÍBA</t>
        </is>
      </c>
      <c r="G221" t="inlineStr">
        <is>
          <t>G1 TRIÂNGULO E ALTO PARANAÍBA E TV INTEGRAÇÃO — UBERABA</t>
        </is>
      </c>
      <c r="H221" t="inlineStr">
        <is>
          <t>INDÍGENAS VENEZUELANOS REFUGIADOS EM UBERABA PODEM FICAR SEM MORADIAS</t>
        </is>
      </c>
      <c r="I221" t="inlineStr">
        <is>
          <t>PADRE FABIANO ROBERTO, RESPONSÁVEL PELO PROJETO ÁGAPE QUE ACOLHE O GRUPO NA CIDADE, INFORMOU QUE CASAS SERÃO PEDIDAS DE VOLTA POR FALTA DE RECURSOS PARA MANTÊ-LAS. PREFEITURA SE MANIFESTOU SOBRE O CASO.</t>
        </is>
      </c>
      <c r="J221">
        <f>HYPERLINK("https://g1.globo.com/mg/triangulo-mineiro/noticia/2022/03/26/indigenas-venezuelanos-refugiados-em-uberaba-podem-ficar-sem-moradias.ghtml", "URL")</f>
        <v/>
      </c>
      <c r="K221">
        <f>HYPERLINK("https://raw.githubusercontent.com/marcosmapl/dataset_imigrantes/main/noticias_filtered/g1/venezuelanos/2022/02_mar/html/g1_6772fcca-230b-11ed-b24f-6dbe51e79fca_2562.html", "HTML")</f>
        <v/>
      </c>
      <c r="L221">
        <f>HYPERLINK("https://raw.githubusercontent.com/marcosmapl/dataset_imigrantes/main/noticias_filtered/g1/venezuelanos/2022/02_mar/txt/g1_6772fcca-230b-11ed-b24f-6dbe51e79fca_2562.txt", "TXT")</f>
        <v/>
      </c>
    </row>
    <row r="222">
      <c r="A222" s="1" t="n">
        <v>220</v>
      </c>
      <c r="B222" t="n">
        <v>2022</v>
      </c>
      <c r="C222" s="2" t="n">
        <v>44644.64805537037</v>
      </c>
      <c r="D222" t="inlineStr">
        <is>
          <t>G1</t>
        </is>
      </c>
      <c r="E222" t="inlineStr">
        <is>
          <t>VENEZUELANOS</t>
        </is>
      </c>
      <c r="F222" t="inlineStr">
        <is>
          <t>RORAIMA</t>
        </is>
      </c>
      <c r="G222" t="inlineStr">
        <is>
          <t>G1 RR — BOA VISTA</t>
        </is>
      </c>
      <c r="H222" t="inlineStr">
        <is>
          <t>VENEZUELANO É DECAPITADO E CORPO É ACHADO ENROLADO EM LENÇOL NA ZONA OESTE DE BOA VISTA</t>
        </is>
      </c>
      <c r="I222" t="inlineStr">
        <is>
          <t>VÍTIMA SE CHAMAVA YONIRSON JAIME MARCANO FIGUEROA E TINHA 26 ANOS. CORPO FOI ENCONTRADO NO BAIRRO SILVIO LEITE.</t>
        </is>
      </c>
      <c r="J222">
        <f>HYPERLINK("https://g1.globo.com/rr/roraima/noticia/2022/03/24/venezuelano-e-decapitado-e-corpo-e-achado-enrolado-em-lencol-na-zona-oeste-de-boa-vista.ghtml", "URL")</f>
        <v/>
      </c>
      <c r="K222">
        <f>HYPERLINK("https://raw.githubusercontent.com/marcosmapl/dataset_imigrantes/main/noticias_filtered/g1/venezuelanos/2022/02_mar/html/g1_3d703572-230c-11ed-b24f-6dbe51e79fca_2612.html", "HTML")</f>
        <v/>
      </c>
      <c r="L222">
        <f>HYPERLINK("https://raw.githubusercontent.com/marcosmapl/dataset_imigrantes/main/noticias_filtered/g1/venezuelanos/2022/02_mar/txt/g1_3d703572-230c-11ed-b24f-6dbe51e79fca_2612.txt", "TXT")</f>
        <v/>
      </c>
    </row>
    <row r="223">
      <c r="A223" s="1" t="n">
        <v>221</v>
      </c>
      <c r="B223" t="n">
        <v>2022</v>
      </c>
      <c r="C223" s="2" t="n">
        <v>44643.54169398148</v>
      </c>
      <c r="D223" t="inlineStr">
        <is>
          <t>G1</t>
        </is>
      </c>
      <c r="E223" t="inlineStr">
        <is>
          <t>VENEZUELANOS</t>
        </is>
      </c>
      <c r="F223" t="inlineStr">
        <is>
          <t>RORAIMA</t>
        </is>
      </c>
      <c r="G223" t="inlineStr">
        <is>
          <t>G1 RR — BOA VISTA</t>
        </is>
      </c>
      <c r="H223" t="inlineStr">
        <is>
          <t>MAIS DE 600 CRIANÇAS VENEZUELANAS SÃO VACINADAS CONTRA COVID EM ABRIGOS EM BOA VISTA</t>
        </is>
      </c>
      <c r="I223" t="inlineStr">
        <is>
          <t>AÇÃO PARA IMUNIZAR MENINOS E MENINAS FOI REALIZADA NOS 10 ABRIGOS PARA MIGRANTES E REFUGIADOS NA CAPITAL.</t>
        </is>
      </c>
      <c r="J223">
        <f>HYPERLINK("https://g1.globo.com/rr/roraima/noticia/2022/03/23/mais-de-600-criancas-venezuelanas-sao-vacinadas-contra-covid-em-abrigos-em-boa-vista.ghtml", "URL")</f>
        <v/>
      </c>
      <c r="K223">
        <f>HYPERLINK("https://raw.githubusercontent.com/marcosmapl/dataset_imigrantes/main/noticias_filtered/g1/venezuelanos/2022/02_mar/html/g1_cf8a2e46-2310-11ed-b24f-6dbe51e79fca_2877.html", "HTML")</f>
        <v/>
      </c>
      <c r="L223">
        <f>HYPERLINK("https://raw.githubusercontent.com/marcosmapl/dataset_imigrantes/main/noticias_filtered/g1/venezuelanos/2022/02_mar/txt/g1_cf8a2e46-2310-11ed-b24f-6dbe51e79fca_2877.txt", "TXT")</f>
        <v/>
      </c>
    </row>
    <row r="224">
      <c r="A224" s="1" t="n">
        <v>222</v>
      </c>
      <c r="B224" t="n">
        <v>2022</v>
      </c>
      <c r="C224" s="2" t="n">
        <v>44643.41731159722</v>
      </c>
      <c r="D224" t="inlineStr">
        <is>
          <t>G1</t>
        </is>
      </c>
      <c r="E224" t="inlineStr">
        <is>
          <t>VENEZUELANOS</t>
        </is>
      </c>
      <c r="F224" t="inlineStr">
        <is>
          <t>RORAIMA</t>
        </is>
      </c>
      <c r="G224" t="inlineStr">
        <is>
          <t>G1 RR — BOA VISTA</t>
        </is>
      </c>
      <c r="H224" t="inlineStr">
        <is>
          <t>CINEASTA QUE SE VESTIU DE PADRE PARA FILMAR DOCUMENTÁRIO NA VENEZUELA FAZ MOBILIZAÇÃO PARA QUE PAPA VISITE RORAIMA</t>
        </is>
      </c>
      <c r="I224" t="inlineStr">
        <is>
          <t>DADO GALVÃO ENVIOU CARTAS A AUTORIDADES BRASILEIRAS PEDINDO APOIO NA MOBILIZAÇÃO QUE OCORRE POR CONTA DO MEDO QUE A CRISE VENEZUELANA CAIA NO ESQUECIMENTO. RORAIMA É PORTA DE ENTRADA PARA MIGRANTES QUE FOGEM A CRISE NA VENEZUELA.</t>
        </is>
      </c>
      <c r="J224">
        <f>HYPERLINK("https://g1.globo.com/rr/roraima/noticia/2022/03/23/cineasta-que-se-vestiu-de-padre-para-filmar-documentario-na-venezuela-faz-mobilizacao-para-que-papa-visite-roraima.ghtml", "URL")</f>
        <v/>
      </c>
      <c r="K224">
        <f>HYPERLINK("https://raw.githubusercontent.com/marcosmapl/dataset_imigrantes/main/noticias_filtered/g1/venezuelanos/2022/02_mar/html/g1_2ac22d90-232a-11ed-b24f-6dbe51e79fca_4161.html", "HTML")</f>
        <v/>
      </c>
      <c r="L224">
        <f>HYPERLINK("https://raw.githubusercontent.com/marcosmapl/dataset_imigrantes/main/noticias_filtered/g1/venezuelanos/2022/02_mar/txt/g1_2ac22d90-232a-11ed-b24f-6dbe51e79fca_4161.txt", "TXT")</f>
        <v/>
      </c>
    </row>
    <row r="225">
      <c r="A225" s="1" t="n">
        <v>223</v>
      </c>
      <c r="B225" t="n">
        <v>2022</v>
      </c>
      <c r="C225" s="2" t="n">
        <v>44642.66980277777</v>
      </c>
      <c r="D225" t="inlineStr">
        <is>
          <t>G1</t>
        </is>
      </c>
      <c r="E225" t="inlineStr">
        <is>
          <t>VENEZUELANOS</t>
        </is>
      </c>
      <c r="F225" t="inlineStr">
        <is>
          <t>SANTA CATARINA</t>
        </is>
      </c>
      <c r="G225" t="inlineStr">
        <is>
          <t>ANAÍSA CATUCCI E LUANA AMORIM, G1 SC E NSC</t>
        </is>
      </c>
      <c r="H225" t="inlineStr">
        <is>
          <t>APÓS BUSCAS, BOMBEIROS ENCONTRAM CORPO DE VENEZUELANO EM RIO NO OESTE DE SC</t>
        </is>
      </c>
      <c r="I225" t="inlineStr">
        <is>
          <t>VÍTIMA DE 27 ANOS FOI LOCALIZADA NO RIO URUGUAI, EM CHAPECÓ.</t>
        </is>
      </c>
      <c r="J225">
        <f>HYPERLINK("https://g1.globo.com/sc/santa-catarina/noticia/2022/03/22/apos-buscas-bombeiros-encontram-corpo-de-venezuelano-em-rio-no-oeste-de-sc.ghtml", "URL")</f>
        <v/>
      </c>
      <c r="K225">
        <f>HYPERLINK("https://raw.githubusercontent.com/marcosmapl/dataset_imigrantes/main/noticias_filtered/g1/venezuelanos/2022/02_mar/html/g1_10d1c82a-230a-11ed-b24f-6dbe51e79fca_2483.html", "HTML")</f>
        <v/>
      </c>
      <c r="L225">
        <f>HYPERLINK("https://raw.githubusercontent.com/marcosmapl/dataset_imigrantes/main/noticias_filtered/g1/venezuelanos/2022/02_mar/txt/g1_10d1c82a-230a-11ed-b24f-6dbe51e79fca_2483.txt", "TXT")</f>
        <v/>
      </c>
    </row>
    <row r="226">
      <c r="A226" s="1" t="n">
        <v>224</v>
      </c>
      <c r="B226" t="n">
        <v>2022</v>
      </c>
      <c r="C226" s="2" t="n">
        <v>44641.91788640046</v>
      </c>
      <c r="D226" t="inlineStr">
        <is>
          <t>G1</t>
        </is>
      </c>
      <c r="E226" t="inlineStr">
        <is>
          <t>VENEZUELANOS</t>
        </is>
      </c>
      <c r="F226" t="inlineStr">
        <is>
          <t>RORAIMA</t>
        </is>
      </c>
      <c r="G226" t="inlineStr">
        <is>
          <t>G1 RR — BOA VISTA</t>
        </is>
      </c>
      <c r="H226" t="inlineStr">
        <is>
          <t>VISÃO MUNDIAL ABRE 90 VAGAS GRATUITAS PARA TURMAS DE LÍNGUA PORTUGUESA PARA MIGRANTES EM RR</t>
        </is>
      </c>
      <c r="I226" t="inlineStr">
        <is>
          <t>PÚBLICO-ALVO SÃO MIGRANTES E REFUGIADOS VENEZUELANOS. INSCRIÇÕES VÃO ATÉ NO DIA 1º DE ABRIL.</t>
        </is>
      </c>
      <c r="J226">
        <f>HYPERLINK("https://g1.globo.com/rr/roraima/noticia/2022/03/21/visao-mundial-abre-90-vagas-gratuitas-para-turmas-de-lingua-portuguesa-para-migrantes-em-rr.ghtml", "URL")</f>
        <v/>
      </c>
      <c r="K226">
        <f>HYPERLINK("https://raw.githubusercontent.com/marcosmapl/dataset_imigrantes/main/noticias_filtered/g1/venezuelanos/2022/02_mar/html/g1_3f9f198a-232a-11ed-b24f-6dbe51e79fca_4166.html", "HTML")</f>
        <v/>
      </c>
      <c r="L226">
        <f>HYPERLINK("https://raw.githubusercontent.com/marcosmapl/dataset_imigrantes/main/noticias_filtered/g1/venezuelanos/2022/02_mar/txt/g1_3f9f198a-232a-11ed-b24f-6dbe51e79fca_4166.txt", "TXT")</f>
        <v/>
      </c>
    </row>
    <row r="227">
      <c r="A227" s="1" t="n">
        <v>225</v>
      </c>
      <c r="B227" t="n">
        <v>2022</v>
      </c>
      <c r="C227" s="2" t="n">
        <v>44641.61830908565</v>
      </c>
      <c r="D227" t="inlineStr">
        <is>
          <t>G1</t>
        </is>
      </c>
      <c r="E227" t="inlineStr">
        <is>
          <t>VENEZUELANOS</t>
        </is>
      </c>
      <c r="F227" t="inlineStr">
        <is>
          <t>RORAIMA</t>
        </is>
      </c>
      <c r="G227" t="inlineStr">
        <is>
          <t>G1 RR — BOA VISTA</t>
        </is>
      </c>
      <c r="H227" t="inlineStr">
        <is>
          <t>VENEZUELANO MORRE AO SER ESFAQUEADO EM BAR E SUSPEITO É PRESO APÓS AJUDAR SAMU SOCORRER VÍTIMA</t>
        </is>
      </c>
      <c r="I227" t="inlineStr">
        <is>
          <t>IDELMAR JOSÉ GOLÇALEZ AMUNDARAY TINHA 23 ANOS. SUSPEITO DE COMETER O CRIME, DE 34 ANOS, AINDA AJUDOU VÍTIMA A SER COLOCADA EM AMBULÂNCIA, SEGUNDO A PM. CRIME FOI EM CAROEBE.</t>
        </is>
      </c>
      <c r="J227">
        <f>HYPERLINK("https://g1.globo.com/rr/roraima/noticia/2022/03/21/venezuelano-morre-ao-ser-esfaqueado-em-bar-e-suspeito-e-preso-apos-ajudar-samu-socorrer-vitima.ghtml", "URL")</f>
        <v/>
      </c>
      <c r="K227">
        <f>HYPERLINK("https://raw.githubusercontent.com/marcosmapl/dataset_imigrantes/main/noticias_filtered/g1/venezuelanos/2022/02_mar/html/g1_1facf8ce-230a-11ed-b24f-6dbe51e79fca_2486.html", "HTML")</f>
        <v/>
      </c>
      <c r="L227">
        <f>HYPERLINK("https://raw.githubusercontent.com/marcosmapl/dataset_imigrantes/main/noticias_filtered/g1/venezuelanos/2022/02_mar/txt/g1_1facf8ce-230a-11ed-b24f-6dbe51e79fca_2486.txt", "TXT")</f>
        <v/>
      </c>
    </row>
    <row r="228">
      <c r="A228" s="1" t="n">
        <v>226</v>
      </c>
      <c r="B228" t="n">
        <v>2022</v>
      </c>
      <c r="C228" s="2" t="n">
        <v>44637.89786821759</v>
      </c>
      <c r="D228" t="inlineStr">
        <is>
          <t>G1</t>
        </is>
      </c>
      <c r="E228" t="inlineStr">
        <is>
          <t>VENEZUELANOS</t>
        </is>
      </c>
      <c r="F228" t="inlineStr">
        <is>
          <t>RORAIMA</t>
        </is>
      </c>
      <c r="G228" t="inlineStr">
        <is>
          <t>CAÍQUE RODRIGUES, G1 RR E REDE AMAZÔNICA — BOA VISTA</t>
        </is>
      </c>
      <c r="H228" t="inlineStr">
        <is>
          <t>VENEZUELANOS INDÍGENAS ACUSAM OPERAÇÃO ACOLHIDA E ACNUR DE AMEAÇAR CORTAR COMIDA CASO NÃO TROQUEM DE ABRIGO: 'HUMILHANTE'</t>
        </is>
      </c>
      <c r="I228" t="inlineStr">
        <is>
          <t>INDÍGENAS RELATAM QUE ENTRE AS INTIMIDAÇÕES, CORDAS E REDES USADAS PARA DORMIR FORAM CORTADAS PELOS MILITARES. O ACNUR ALEGOU QUE O PROCESSO DE REMANEJAMENTO FOI FEITO DE FORMA CONSULTIVA.</t>
        </is>
      </c>
      <c r="J228">
        <f>HYPERLINK("https://g1.globo.com/rr/roraima/noticia/2022/03/17/venezuelanos-indigenas-acusam-operacao-acolhida-e-acnur-de-ameacar-cortar-comida-caso-nao-troquem-de-abrigo-humilhante.ghtml", "URL")</f>
        <v/>
      </c>
      <c r="K228">
        <f>HYPERLINK("https://raw.githubusercontent.com/marcosmapl/dataset_imigrantes/main/noticias_filtered/g1/venezuelanos/2022/02_mar/html/g1_0bbc46a0-2312-11ed-b24f-6dbe51e79fca_2946.html", "HTML")</f>
        <v/>
      </c>
      <c r="L228">
        <f>HYPERLINK("https://raw.githubusercontent.com/marcosmapl/dataset_imigrantes/main/noticias_filtered/g1/venezuelanos/2022/02_mar/txt/g1_0bbc46a0-2312-11ed-b24f-6dbe51e79fca_2946.txt", "TXT")</f>
        <v/>
      </c>
    </row>
    <row r="229">
      <c r="A229" s="1" t="n">
        <v>227</v>
      </c>
      <c r="B229" t="n">
        <v>2022</v>
      </c>
      <c r="C229" s="2" t="n">
        <v>44637.77258603009</v>
      </c>
      <c r="D229" t="inlineStr">
        <is>
          <t>G1</t>
        </is>
      </c>
      <c r="E229" t="inlineStr">
        <is>
          <t>VENEZUELANOS</t>
        </is>
      </c>
      <c r="F229" t="inlineStr">
        <is>
          <t>PARAÍBA</t>
        </is>
      </c>
      <c r="G229" t="inlineStr">
        <is>
          <t>G1 PB</t>
        </is>
      </c>
      <c r="H229" t="inlineStr">
        <is>
          <t>VENEZUELANO MORTO EM JOÃO PESSOA ERA ESTUDANTE UNIVERSITÁRIO ANTES DE SE MUDAR PARA O BRASIL</t>
        </is>
      </c>
      <c r="I229" t="inlineStr">
        <is>
          <t>JEAN CARLOS CABELLO TRABALHAVA COMO MOTOBOY E TEVE A MOTO ROUBADA APÓS LEVAR UM TIRO. POLÍCIA INVESTIGA LATROCÍNIO.</t>
        </is>
      </c>
      <c r="J229">
        <f>HYPERLINK("https://g1.globo.com/pb/paraiba/noticia/2022/03/17/venezuelano-morto-em-joao-pessoa-era-estudante-universitario-antes-de-se-mudar-para-o-brasil.ghtml", "URL")</f>
        <v/>
      </c>
      <c r="K229">
        <f>HYPERLINK("https://raw.githubusercontent.com/marcosmapl/dataset_imigrantes/main/noticias_filtered/g1/venezuelanos/2022/02_mar/html/g1_9cd76592-2313-11ed-b24f-6dbe51e79fca_3017.html", "HTML")</f>
        <v/>
      </c>
      <c r="L229">
        <f>HYPERLINK("https://raw.githubusercontent.com/marcosmapl/dataset_imigrantes/main/noticias_filtered/g1/venezuelanos/2022/02_mar/txt/g1_9cd76592-2313-11ed-b24f-6dbe51e79fca_3017.txt", "TXT")</f>
        <v/>
      </c>
    </row>
    <row r="230">
      <c r="A230" s="1" t="n">
        <v>228</v>
      </c>
      <c r="B230" t="n">
        <v>2022</v>
      </c>
      <c r="C230" s="2" t="n">
        <v>44637.6939565625</v>
      </c>
      <c r="D230" t="inlineStr">
        <is>
          <t>G1</t>
        </is>
      </c>
      <c r="E230" t="inlineStr">
        <is>
          <t>VENEZUELANOS</t>
        </is>
      </c>
      <c r="F230" t="inlineStr">
        <is>
          <t>PARAÍBA</t>
        </is>
      </c>
      <c r="G230" t="inlineStr">
        <is>
          <t>G1 PB</t>
        </is>
      </c>
      <c r="H230" t="inlineStr">
        <is>
          <t>JOVEM VENEZUELANO É MORTO APÓS SER ATINGIDO POR UM TIRO, NA RUA ONDE MORAVA, EM JOÃO PESSOA</t>
        </is>
      </c>
      <c r="I230" t="inlineStr">
        <is>
          <t>ELE ESTAVA NA RUA DA CASA ONDE MORAVA, QUANDO FOI ABORDADO POR DOIS SUSPEITOS A PÉ.</t>
        </is>
      </c>
      <c r="J230">
        <f>HYPERLINK("https://g1.globo.com/pb/paraiba/noticia/2022/03/17/jovem-venezuelano-e-morto-apos-ser-atingido-por-um-tiro-na-rua-onde-morava-em-joao-pessoa.ghtml", "URL")</f>
        <v/>
      </c>
      <c r="K230">
        <f>HYPERLINK("https://raw.githubusercontent.com/marcosmapl/dataset_imigrantes/main/noticias_filtered/g1/venezuelanos/2022/02_mar/html/g1_eeb330ce-231a-11ed-b24f-6dbe51e79fca_3361.html", "HTML")</f>
        <v/>
      </c>
      <c r="L230">
        <f>HYPERLINK("https://raw.githubusercontent.com/marcosmapl/dataset_imigrantes/main/noticias_filtered/g1/venezuelanos/2022/02_mar/txt/g1_eeb330ce-231a-11ed-b24f-6dbe51e79fca_3361.txt", "TXT")</f>
        <v/>
      </c>
    </row>
    <row r="231">
      <c r="A231" s="1" t="n">
        <v>229</v>
      </c>
      <c r="B231" t="n">
        <v>2022</v>
      </c>
      <c r="C231" s="2" t="n">
        <v>44635.89786094907</v>
      </c>
      <c r="D231" t="inlineStr">
        <is>
          <t>G1</t>
        </is>
      </c>
      <c r="E231" t="inlineStr">
        <is>
          <t>VENEZUELANOS</t>
        </is>
      </c>
      <c r="F231" t="inlineStr">
        <is>
          <t>MATO GROSSO</t>
        </is>
      </c>
      <c r="G231" t="inlineStr">
        <is>
          <t>EUNICE RAMOS, TV CENTRO AMÉRICA</t>
        </is>
      </c>
      <c r="H231" t="inlineStr">
        <is>
          <t>VENEZUELANAS APRENDEM PANIFICAÇÃO E CONFEITARIA PARA TRABALHAR EM PADARIA COMUNITÁRIA EM CUIABÁ</t>
        </is>
      </c>
      <c r="I231" t="inlineStr">
        <is>
          <t>AS IMIGRANTES FIZERAM CURSO DE CONFEITARIA, PANIFICAÇÕES, NOÇÕES DE ETIQUETA E REGRAS DE HIGIENE COMO QUALIFICAÇÃO PARA CONSEGUIR ESPAÇO NO MERCADO DE TRABALHO.</t>
        </is>
      </c>
      <c r="J231">
        <f>HYPERLINK("https://g1.globo.com/mt/mato-grosso/noticia/2022/03/15/venezuelanas-aprendem-panificacao-e-confeitaria-para-trabalhar-em-padaria-comunitaria-em-cuiaba.ghtml", "URL")</f>
        <v/>
      </c>
      <c r="K231">
        <f>HYPERLINK("https://raw.githubusercontent.com/marcosmapl/dataset_imigrantes/main/noticias_filtered/g1/venezuelanos/2022/02_mar/html/g1_69078210-2327-11ed-b24f-6dbe51e79fca_4033.html", "HTML")</f>
        <v/>
      </c>
      <c r="L231">
        <f>HYPERLINK("https://raw.githubusercontent.com/marcosmapl/dataset_imigrantes/main/noticias_filtered/g1/venezuelanos/2022/02_mar/txt/g1_69078210-2327-11ed-b24f-6dbe51e79fca_4033.txt", "TXT")</f>
        <v/>
      </c>
    </row>
    <row r="232">
      <c r="A232" s="1" t="n">
        <v>230</v>
      </c>
      <c r="B232" t="n">
        <v>2022</v>
      </c>
      <c r="C232" s="2" t="n">
        <v>44635.37565728009</v>
      </c>
      <c r="D232" t="inlineStr">
        <is>
          <t>G1</t>
        </is>
      </c>
      <c r="E232" t="inlineStr">
        <is>
          <t>VENEZUELANOS</t>
        </is>
      </c>
      <c r="F232" t="inlineStr">
        <is>
          <t>POP &amp; ARTE</t>
        </is>
      </c>
      <c r="G232" t="inlineStr">
        <is>
          <t>G1</t>
        </is>
      </c>
      <c r="H232" t="inlineStr">
        <is>
          <t>‘EL PASO DE ANITTA’: DANÇA DE ‘ENVOLVER’ VIRALIZA EM PAÍSES HISPÂNICOS E ANITTA CHEGA AO TOP 30 GLOBAL</t>
        </is>
      </c>
      <c r="I232" t="inlineStr">
        <is>
          <t>REGGAETON LANÇADO EM NOVEMBRO DE 2021 CRESCEU COM FÃS DA AMÉRICA LATINA FAZENDO A DANÇA ATÉ O CHÃO, CAUSOU POLÊMICA COM APRESENTADOR VENEZUELANO E VIROU 1º HIT SOLO DELA NO TOP 30 DO MUNDO. .</t>
        </is>
      </c>
      <c r="J232">
        <f>HYPERLINK("https://g1.globo.com/pop-arte/musica/noticia/2022/03/15/el-paso-de-anitta-danca-de-envolver-viraliza-em-paises-hispanicos-e-anitta-chega-ao-top-30-global.ghtml", "URL")</f>
        <v/>
      </c>
      <c r="K232">
        <f>HYPERLINK("https://raw.githubusercontent.com/marcosmapl/dataset_imigrantes/main/noticias_filtered/g1/venezuelanos/2022/02_mar/html/g1_3931ccd4-230f-11ed-b24f-6dbe51e79fca_2783.html", "HTML")</f>
        <v/>
      </c>
      <c r="L232">
        <f>HYPERLINK("https://raw.githubusercontent.com/marcosmapl/dataset_imigrantes/main/noticias_filtered/g1/venezuelanos/2022/02_mar/txt/g1_3931ccd4-230f-11ed-b24f-6dbe51e79fca_2783.txt", "TXT")</f>
        <v/>
      </c>
    </row>
    <row r="233">
      <c r="A233" s="1" t="n">
        <v>231</v>
      </c>
      <c r="B233" t="n">
        <v>2022</v>
      </c>
      <c r="C233" s="2" t="n">
        <v>44634.44920530092</v>
      </c>
      <c r="D233" t="inlineStr">
        <is>
          <t>G1</t>
        </is>
      </c>
      <c r="E233" t="inlineStr">
        <is>
          <t>HAITIANOS</t>
        </is>
      </c>
      <c r="F233" t="inlineStr">
        <is>
          <t>MUNDO</t>
        </is>
      </c>
      <c r="G233" t="inlineStr">
        <is>
          <t>BBC</t>
        </is>
      </c>
      <c r="H233" t="inlineStr">
        <is>
          <t>ALÉM DA GUERRA NA UCRÂNIA: 7 CONFLITOS SANGRENTOS QUE OCORREM HOJE NO MUNDO</t>
        </is>
      </c>
      <c r="I233" t="inlineStr">
        <is>
          <t>CONFLITOS NO IÊMEN, ETIÓPIA E MIANMAR PROVOCARAM ENORME SOFRIMENTO HUMANO, MAS NEM SEMPRE TIVERAM A MESMA RESPOSTA INTERNACIONAL.</t>
        </is>
      </c>
      <c r="J233">
        <f>HYPERLINK("https://g1.globo.com/mundo/noticia/2022/03/14/alem-da-guerra-na-ucrania-7-conflitos-sangrentos-que-ocorrem-hoje-no-mundo.ghtml", "URL")</f>
        <v/>
      </c>
      <c r="K233">
        <f>HYPERLINK("https://raw.githubusercontent.com/marcosmapl/dataset_imigrantes/main/noticias_filtered/g1/haitianos/2022/02_mar/html/g1_81050b4c-231a-11ed-b24f-6dbe51e79fca_3339.html", "HTML")</f>
        <v/>
      </c>
      <c r="L233">
        <f>HYPERLINK("https://raw.githubusercontent.com/marcosmapl/dataset_imigrantes/main/noticias_filtered/g1/haitianos/2022/02_mar/txt/g1_81050b4c-231a-11ed-b24f-6dbe51e79fca_3339.txt", "TXT")</f>
        <v/>
      </c>
    </row>
    <row r="234">
      <c r="A234" s="1" t="n">
        <v>232</v>
      </c>
      <c r="B234" t="n">
        <v>2022</v>
      </c>
      <c r="C234" s="2" t="n">
        <v>44633.41718706019</v>
      </c>
      <c r="D234" t="inlineStr">
        <is>
          <t>G1</t>
        </is>
      </c>
      <c r="E234" t="inlineStr">
        <is>
          <t>VENEZUELANOS</t>
        </is>
      </c>
      <c r="F234" t="inlineStr">
        <is>
          <t>RORAIMA</t>
        </is>
      </c>
      <c r="G234" t="inlineStr">
        <is>
          <t>G1 RR — BOA VISTA</t>
        </is>
      </c>
      <c r="H234" t="inlineStr">
        <is>
          <t>MAIS DE 230 VENEZUELANOS CONCLUEM CURSO DE LÍNGUA PORTUGUESA EM RORAIMA</t>
        </is>
      </c>
      <c r="I234" t="inlineStr">
        <is>
          <t>CURSO FOI OFERTADO GRATUITAMENTE PELA ONG VISÃO MUNDIAL. SABENDO FALAR PORTUGUÊS, MIGRANTES TÊM MAIS OPORTUNIDADES NO MERCADO DE TRABALHO.</t>
        </is>
      </c>
      <c r="J234">
        <f>HYPERLINK("https://g1.globo.com/rr/roraima/noticia/2022/03/13/mais-de-230-venezuelanos-concluem-curso-de-lingua-portuguesa-em-roraima.ghtml", "URL")</f>
        <v/>
      </c>
      <c r="K234">
        <f>HYPERLINK("https://raw.githubusercontent.com/marcosmapl/dataset_imigrantes/main/noticias_filtered/g1/venezuelanos/2022/02_mar/html/g1_01640d6c-230a-11ed-b24f-6dbe51e79fca_2480.html", "HTML")</f>
        <v/>
      </c>
      <c r="L234">
        <f>HYPERLINK("https://raw.githubusercontent.com/marcosmapl/dataset_imigrantes/main/noticias_filtered/g1/venezuelanos/2022/02_mar/txt/g1_01640d6c-230a-11ed-b24f-6dbe51e79fca_2480.txt", "TXT")</f>
        <v/>
      </c>
    </row>
    <row r="235">
      <c r="A235" s="1" t="n">
        <v>233</v>
      </c>
      <c r="B235" t="n">
        <v>2022</v>
      </c>
      <c r="C235" s="2" t="n">
        <v>44630.55134800926</v>
      </c>
      <c r="D235" t="inlineStr">
        <is>
          <t>G1</t>
        </is>
      </c>
      <c r="E235" t="inlineStr">
        <is>
          <t>VENEZUELANOS</t>
        </is>
      </c>
      <c r="F235" t="inlineStr">
        <is>
          <t>SANTA CATARINA</t>
        </is>
      </c>
      <c r="G235" t="inlineStr">
        <is>
          <t>CLARÌSSA BATÌSTELA, G1 SC</t>
        </is>
      </c>
      <c r="H235" t="inlineStr">
        <is>
          <t>VENEZUELANO FERIDO GRAVEMENTE DURANTE TEMPORAL EM SC SEGUE HOSPITALIZADO</t>
        </is>
      </c>
      <c r="I235" t="inlineStr">
        <is>
          <t>HOMEM FOI ATINGIDO POR ESTRUTURA DE EMPRESA, QUE DESABOU. ELE TRABALHAVA NA INSTALAÇÃO DE UMA SECADORA DE GRÃOS QUANDO INICIOU A TEMPESTADE EM PINHALZINHO.</t>
        </is>
      </c>
      <c r="J235">
        <f>HYPERLINK("https://g1.globo.com/sc/santa-catarina/noticia/2022/03/10/venezuelano-ferido-gravemente-durante-temporal-em-sc-segue-hospitalizado.ghtml", "URL")</f>
        <v/>
      </c>
      <c r="K235">
        <f>HYPERLINK("https://raw.githubusercontent.com/marcosmapl/dataset_imigrantes/main/noticias_filtered/g1/venezuelanos/2022/02_mar/html/g1_9c0db0e2-2306-11ed-b24f-6dbe51e79fca_2269.html", "HTML")</f>
        <v/>
      </c>
      <c r="L235">
        <f>HYPERLINK("https://raw.githubusercontent.com/marcosmapl/dataset_imigrantes/main/noticias_filtered/g1/venezuelanos/2022/02_mar/txt/g1_9c0db0e2-2306-11ed-b24f-6dbe51e79fca_2269.txt", "TXT")</f>
        <v/>
      </c>
    </row>
    <row r="236">
      <c r="A236" s="1" t="n">
        <v>234</v>
      </c>
      <c r="B236" t="n">
        <v>2022</v>
      </c>
      <c r="C236" s="2" t="n">
        <v>44629.07765327546</v>
      </c>
      <c r="D236" t="inlineStr">
        <is>
          <t>G1</t>
        </is>
      </c>
      <c r="E236" t="inlineStr">
        <is>
          <t>VENEZUELANOS</t>
        </is>
      </c>
      <c r="F236" t="inlineStr">
        <is>
          <t>MUNDO</t>
        </is>
      </c>
      <c r="G236" t="inlineStr">
        <is>
          <t>G1</t>
        </is>
      </c>
      <c r="H236" t="inlineStr">
        <is>
          <t>VENEZUELA LIBERTA DOIS PRESOS QUE TRABALHAVAM COM PETRÓLEO AMERICANO NO PAÍS</t>
        </is>
      </c>
      <c r="I236" t="inlineStr">
        <is>
          <t>DECISÃO ACONTECE DIAS APÓS REUNIÃO DO LÍDER VENEZUELANO, NICOLÁS MADURO, E REPRESENTANTES DOS EUA. O EMBARGO A CARACAS PODE SER RETIRADO EM BREVE, DIZEM FONTES.</t>
        </is>
      </c>
      <c r="J236">
        <f>HYPERLINK("https://g1.globo.com/mundo/noticia/2022/03/08/venezuela-libertou-da-prisao-um-ex-executivo-do-petroleo-americano.ghtml", "URL")</f>
        <v/>
      </c>
      <c r="K236">
        <f>HYPERLINK("https://raw.githubusercontent.com/marcosmapl/dataset_imigrantes/main/noticias_filtered/g1/venezuelanos/2022/02_mar/html/g1_687ba6d0-2324-11ed-b24f-6dbe51e79fca_3869.html", "HTML")</f>
        <v/>
      </c>
      <c r="L236">
        <f>HYPERLINK("https://raw.githubusercontent.com/marcosmapl/dataset_imigrantes/main/noticias_filtered/g1/venezuelanos/2022/02_mar/txt/g1_687ba6d0-2324-11ed-b24f-6dbe51e79fca_3869.txt", "TXT")</f>
        <v/>
      </c>
    </row>
    <row r="237">
      <c r="A237" s="1" t="n">
        <v>235</v>
      </c>
      <c r="B237" t="n">
        <v>2022</v>
      </c>
      <c r="C237" s="2" t="n">
        <v>44628.82299768519</v>
      </c>
      <c r="D237" t="inlineStr">
        <is>
          <t>A CRITICA</t>
        </is>
      </c>
      <c r="E237" t="inlineStr">
        <is>
          <t>VENEZUELANOS</t>
        </is>
      </c>
      <c r="F237" t="inlineStr"/>
      <c r="G237" t="inlineStr">
        <is>
          <t>PORTAL A CRÍTICA</t>
        </is>
      </c>
      <c r="H237" t="inlineStr">
        <is>
          <t>COM APOIO DO ACNUR, MULHERES REFUGIADAS CONSTROEM COM ESPERANÇA NOVAS VIDAS NO BRASIL</t>
        </is>
      </c>
      <c r="I237" t="inlineStr">
        <is>
          <t>NO DIA INTERNACIONAL DA MULHER, AGÊNCIA DA ONU PARA REFUGIADOS CELEBRA CONQUISTAS DAS MULHERES EM TODO O MUNDO, INDEPENDENTEMENTE DE NACIONALIDADE, ETNIA OU STATUS JURÍDICO</t>
        </is>
      </c>
      <c r="J237">
        <f>HYPERLINK("https://www.acritica.com/com-apoio-do-acnur-mulheres-refugiadas-constroem-com-esperanca-novas-vidas-no-brasil-1.155425", "URL")</f>
        <v/>
      </c>
      <c r="K237">
        <f>HYPERLINK("https://raw.githubusercontent.com/marcosmapl/dataset_imigrantes/main/noticias_filtered/a_critica/venezuelanos/2022/02_mar/html/1.155425_394.html", "HTML")</f>
        <v/>
      </c>
      <c r="L237">
        <f>HYPERLINK("https://raw.githubusercontent.com/marcosmapl/dataset_imigrantes/main/noticias_filtered/a_critica/venezuelanos/2022/02_mar/txt/1.155425_394.txt", "TXT")</f>
        <v/>
      </c>
    </row>
    <row r="238">
      <c r="A238" s="1" t="n">
        <v>236</v>
      </c>
      <c r="B238" t="n">
        <v>2022</v>
      </c>
      <c r="C238" s="2" t="n">
        <v>44628.67975633102</v>
      </c>
      <c r="D238" t="inlineStr">
        <is>
          <t>G1</t>
        </is>
      </c>
      <c r="E238" t="inlineStr">
        <is>
          <t>HAITIANOS</t>
        </is>
      </c>
      <c r="F238" t="inlineStr">
        <is>
          <t>PARANÁ</t>
        </is>
      </c>
      <c r="G238" t="inlineStr">
        <is>
          <t>NATALIA FILIPPIN E MARCELA CARVALHO, G1 PR — CURITIBA</t>
        </is>
      </c>
      <c r="H238" t="inlineStr">
        <is>
          <t>VÍDEO: MOTORISTA DE ÔNIBUS É DEMITIDO APÓS FAZER COMENTÁRIOS SEXISTAS SOBRE MULHERES UCRANIANAS E GESTOS OBSCENOS</t>
        </is>
      </c>
      <c r="I238" t="inlineStr">
        <is>
          <t>CASO OCORREU EM PINHAIS, NA REGIÃO DE CURITIBA. COMEC CONDENOU COMPORTAMENTO DO OPERADOR, O QUAL CLASSIFICA COMO INACEITÁVEL; A EXPRESSO AZUL REPUDIOU O EPISÓDIO E DISSE QUE ABOMINA MANIFESTAÇÕES DE PRECONCEITO. IDENTIDADE DO FUNCIONÁRIO NÃO FOI DIVULGADA.</t>
        </is>
      </c>
      <c r="J238">
        <f>HYPERLINK("https://g1.globo.com/pr/parana/noticia/2022/03/08/video-motorista-de-onibus-e-demitido-apos-fazer-comentarios-sexistas-sobre-mulheres-ucranianas-e-gestos-obscenos.ghtml", "URL")</f>
        <v/>
      </c>
      <c r="K238">
        <f>HYPERLINK("https://raw.githubusercontent.com/marcosmapl/dataset_imigrantes/main/noticias_filtered/g1/haitianos/2022/02_mar/html/g1_7182b7fa-2306-11ed-b24f-6dbe51e79fca_2259.html", "HTML")</f>
        <v/>
      </c>
      <c r="L238">
        <f>HYPERLINK("https://raw.githubusercontent.com/marcosmapl/dataset_imigrantes/main/noticias_filtered/g1/haitianos/2022/02_mar/txt/g1_7182b7fa-2306-11ed-b24f-6dbe51e79fca_2259.txt", "TXT")</f>
        <v/>
      </c>
    </row>
    <row r="239">
      <c r="A239" s="1" t="n">
        <v>237</v>
      </c>
      <c r="B239" t="n">
        <v>2022</v>
      </c>
      <c r="C239" s="2" t="n">
        <v>44628.59068287037</v>
      </c>
      <c r="D239" t="inlineStr">
        <is>
          <t>A CRITICA</t>
        </is>
      </c>
      <c r="E239" t="inlineStr">
        <is>
          <t>VENEZUELANOS</t>
        </is>
      </c>
      <c r="F239" t="inlineStr"/>
      <c r="G239" t="inlineStr">
        <is>
          <t>AGÊNCIA BRASIL</t>
        </is>
      </c>
      <c r="H239" t="inlineStr">
        <is>
          <t>GOVERNO VENEZUELANO DIZ QUE VAI RETOMAR DIÁLOGO COM OPOSIÇÃO</t>
        </is>
      </c>
      <c r="I239" t="inlineStr">
        <is>
          <t>OBJETIVO É FACILITAR RECUPERAÇÃO ECONÔMICA</t>
        </is>
      </c>
      <c r="J239">
        <f>HYPERLINK("https://www.acritica.com/governo-venezuelano-diz-que-vai-retomar-dialogo-com-oposic-o-1.155208", "URL")</f>
        <v/>
      </c>
      <c r="K239">
        <f>HYPERLINK("https://raw.githubusercontent.com/marcosmapl/dataset_imigrantes/main/noticias_filtered/a_critica/venezuelanos/2022/02_mar/html/1.155208_112.html", "HTML")</f>
        <v/>
      </c>
      <c r="L239">
        <f>HYPERLINK("https://raw.githubusercontent.com/marcosmapl/dataset_imigrantes/main/noticias_filtered/a_critica/venezuelanos/2022/02_mar/txt/1.155208_112.txt", "TXT")</f>
        <v/>
      </c>
    </row>
    <row r="240">
      <c r="A240" s="1" t="n">
        <v>238</v>
      </c>
      <c r="B240" t="n">
        <v>2022</v>
      </c>
      <c r="C240" s="2" t="n">
        <v>44628.45886938657</v>
      </c>
      <c r="D240" t="inlineStr">
        <is>
          <t>G1</t>
        </is>
      </c>
      <c r="E240" t="inlineStr">
        <is>
          <t>VENEZUELANOS</t>
        </is>
      </c>
      <c r="F240" t="inlineStr">
        <is>
          <t>RORAIMA</t>
        </is>
      </c>
      <c r="G240" t="inlineStr">
        <is>
          <t>YARA RAMALHO, G1 RR — BOA VISTA</t>
        </is>
      </c>
      <c r="H240" t="inlineStr">
        <is>
          <t>VENEZUELANA PASSA DE VOLUNTÁRIA A COORDENADORA E LIDERA PROJETO PARA MIGRANTES EM RORAIMA: 'SER MULHER É TER VALENTIA'</t>
        </is>
      </c>
      <c r="I240" t="inlineStr">
        <is>
          <t>NESTA TERÇA-FEIRA (8), DIA INTERNACIONAL DA MULHER, O G1 CONTA A HISTÓRIA DA MIGRANTE MARÍA PATRICIA MOLINA CONTRERAS, DE 32 ANOS, QUE VENCEU PRECONCEITOS SOCIAIS E PROFISSIONAIS EM RORAIMA.</t>
        </is>
      </c>
      <c r="J240">
        <f>HYPERLINK("https://g1.globo.com/rr/roraima/noticia/2022/03/08/venezuelana-passa-de-voluntaria-a-coordenadora-e-lidera-projeto-para-migrantes-em-roraima-ser-mulher-e-ter-valentia.ghtml", "URL")</f>
        <v/>
      </c>
      <c r="K240">
        <f>HYPERLINK("https://raw.githubusercontent.com/marcosmapl/dataset_imigrantes/main/noticias_filtered/g1/venezuelanos/2022/02_mar/html/g1_0c7ee4dc-2329-11ed-b24f-6dbe51e79fca_4097.html", "HTML")</f>
        <v/>
      </c>
      <c r="L240">
        <f>HYPERLINK("https://raw.githubusercontent.com/marcosmapl/dataset_imigrantes/main/noticias_filtered/g1/venezuelanos/2022/02_mar/txt/g1_0c7ee4dc-2329-11ed-b24f-6dbe51e79fca_4097.txt", "TXT")</f>
        <v/>
      </c>
    </row>
    <row r="241">
      <c r="A241" s="1" t="n">
        <v>239</v>
      </c>
      <c r="B241" t="n">
        <v>2022</v>
      </c>
      <c r="C241" s="2" t="n">
        <v>44628.3757937037</v>
      </c>
      <c r="D241" t="inlineStr">
        <is>
          <t>G1</t>
        </is>
      </c>
      <c r="E241" t="inlineStr">
        <is>
          <t>AMBOS</t>
        </is>
      </c>
      <c r="F241" t="inlineStr">
        <is>
          <t>BAHIA</t>
        </is>
      </c>
      <c r="G241" t="inlineStr">
        <is>
          <t>ERIC LUIS CARVALHO, G1 BA</t>
        </is>
      </c>
      <c r="H241" t="inlineStr">
        <is>
          <t>LONGE DE CASA, MULHERES IMIGRANTES ESCOLHEM SALVADOR PARA RECOMEÇAR: 'SEGUIMOS LUTANDO'</t>
        </is>
      </c>
      <c r="I241" t="inlineStr">
        <is>
          <t>NO DIA DA MULHER, IMIGRANTES DO HAITI E DA VENEZUELA FALAM SOBRE A BAHIA E SAUDADE DE CASA.</t>
        </is>
      </c>
      <c r="J241">
        <f>HYPERLINK("https://g1.globo.com/ba/bahia/noticia/2022/03/08/longe-de-casa-mulheres-imigrantes-escolhem-salvador-para-recomecar-seguimos-lutando.ghtml", "URL")</f>
        <v/>
      </c>
      <c r="K241">
        <f>HYPERLINK("https://raw.githubusercontent.com/marcosmapl/dataset_imigrantes/main/noticias_filtered/g1/ambos/2022/02_mar/html/g1_ba07e624-231c-11ed-b24f-6dbe51e79fca_3461.html", "HTML")</f>
        <v/>
      </c>
      <c r="L241">
        <f>HYPERLINK("https://raw.githubusercontent.com/marcosmapl/dataset_imigrantes/main/noticias_filtered/g1/ambos/2022/02_mar/txt/g1_ba07e624-231c-11ed-b24f-6dbe51e79fca_3461.txt", "TXT")</f>
        <v/>
      </c>
    </row>
    <row r="242">
      <c r="A242" s="1" t="n">
        <v>240</v>
      </c>
      <c r="B242" t="n">
        <v>2022</v>
      </c>
      <c r="C242" s="2" t="n">
        <v>44628.33541666667</v>
      </c>
      <c r="D242" t="inlineStr">
        <is>
          <t>PORTAL AMAZONIA</t>
        </is>
      </c>
      <c r="E242" t="inlineStr">
        <is>
          <t>VENEZUELANOS</t>
        </is>
      </c>
      <c r="F242" t="inlineStr">
        <is>
          <t>RONDÔNIA</t>
        </is>
      </c>
      <c r="G242" t="inlineStr">
        <is>
          <t>PORTAL AMAZÔNIA, COM INFORMAÇÕES DO G1 RO</t>
        </is>
      </c>
      <c r="H242" t="inlineStr">
        <is>
          <t>PUBLICITÁRIA DE PORTO VELHO CRIA PRIMEIRO BANCO DE IMAGEM DE MULHERES NEGRAS</t>
        </is>
      </c>
      <c r="I242" t="inlineStr">
        <is>
          <t>EM 2017, QUANDO PROCURAVA FOTOS DE PESSOAS PARA INSERIR EM CAMPANHAS, JOANA PERCEBEU QUE QUASE NUNCA ENCONTRAVA IMAGENS DE MULHERES NEGRAS, PRINCIPALMENTE QUE APARENTASSEM SER GENUINAMENTE BRASILEIRAS.</t>
        </is>
      </c>
      <c r="J242">
        <f>HYPERLINK("https://portalamazonia.com/estados/rondonia/publicitaria-de-porto-velho-cria-primeiro-banco-de-imagem-de-mulheres-negras", "URL")</f>
        <v/>
      </c>
      <c r="K242">
        <f>HYPERLINK("https://raw.githubusercontent.com/marcosmapl/dataset_imigrantes/main/noticias_filtered/portal_amazonia/venezuelanos/2022/02_mar/html/35202.85519_1550.html", "HTML")</f>
        <v/>
      </c>
      <c r="L242">
        <f>HYPERLINK("https://raw.githubusercontent.com/marcosmapl/dataset_imigrantes/main/noticias_filtered/portal_amazonia/venezuelanos/2022/02_mar/txt/35202.85519_1550.txt", "TXT")</f>
        <v/>
      </c>
    </row>
    <row r="243">
      <c r="A243" s="1" t="n">
        <v>241</v>
      </c>
      <c r="B243" t="n">
        <v>2022</v>
      </c>
      <c r="C243" s="2" t="n">
        <v>44625.7772975</v>
      </c>
      <c r="D243" t="inlineStr">
        <is>
          <t>G1</t>
        </is>
      </c>
      <c r="E243" t="inlineStr">
        <is>
          <t>VENEZUELANOS</t>
        </is>
      </c>
      <c r="F243" t="inlineStr">
        <is>
          <t>CAMPINAS E REGIÃO</t>
        </is>
      </c>
      <c r="G243" t="inlineStr">
        <is>
          <t>EPTV 1</t>
        </is>
      </c>
      <c r="H243" t="inlineStr">
        <is>
          <t>CAMPINAS ATENDE 165 REFUGIADOS NOS DOIS PRIMEIROS MESES DE 2022; 43% SÃO VENEZUELANOS</t>
        </is>
      </c>
      <c r="I243" t="inlineStr">
        <is>
          <t>PROJETO DE AGÊNCIA DA ONU AJUDA MULHERES A ENCONTRAR EMPREGOS NA METRÓPOLE. 'QUANDO EU CHEGUEI AQUI, TUDO MUDOU. TUDO MUDOU E EU ESTOU FELIZ', DIZ UMA DAS BENEFICIADAS.</t>
        </is>
      </c>
      <c r="J243">
        <f>HYPERLINK("https://g1.globo.com/sp/campinas-regiao/noticia/2022/03/05/campinas-atende-165-refugiados-nos-dois-primeiros-meses-de-2022-43percent-sao-venezuelanos.ghtml", "URL")</f>
        <v/>
      </c>
      <c r="K243">
        <f>HYPERLINK("https://raw.githubusercontent.com/marcosmapl/dataset_imigrantes/main/noticias_filtered/g1/venezuelanos/2022/02_mar/html/g1_b03f32b6-2306-11ed-b24f-6dbe51e79fca_2273.html", "HTML")</f>
        <v/>
      </c>
      <c r="L243">
        <f>HYPERLINK("https://raw.githubusercontent.com/marcosmapl/dataset_imigrantes/main/noticias_filtered/g1/venezuelanos/2022/02_mar/txt/g1_b03f32b6-2306-11ed-b24f-6dbe51e79fca_2273.txt", "TXT")</f>
        <v/>
      </c>
    </row>
    <row r="244">
      <c r="A244" s="1" t="n">
        <v>242</v>
      </c>
      <c r="B244" t="n">
        <v>2022</v>
      </c>
      <c r="C244" s="2" t="n">
        <v>44624.33680555555</v>
      </c>
      <c r="D244" t="inlineStr">
        <is>
          <t>PORTAL AMAZONIA</t>
        </is>
      </c>
      <c r="E244" t="inlineStr">
        <is>
          <t>VENEZUELANOS</t>
        </is>
      </c>
      <c r="F244" t="inlineStr">
        <is>
          <t>BORA DE TRIP</t>
        </is>
      </c>
      <c r="G244" t="inlineStr">
        <is>
          <t>GILDO JÚNIOR - BORADETRIPP@GMAIL.COM</t>
        </is>
      </c>
      <c r="H244" t="inlineStr">
        <is>
          <t>MONTE RORAIMA, O MUNDO PERDIDO!</t>
        </is>
      </c>
      <c r="I244" t="inlineStr">
        <is>
          <t>TERRA DE LENDAS E HISTÓRIAS, MORADA PERMANENTE DO MACUNAÍMA, SEU PROTETOR.</t>
        </is>
      </c>
      <c r="J244">
        <f>HYPERLINK("https://portalamazonia.com/bora-de-trip/monte-roraima-o-mundo-perdido", "URL")</f>
        <v/>
      </c>
      <c r="K244">
        <f>HYPERLINK("https://raw.githubusercontent.com/marcosmapl/dataset_imigrantes/main/noticias_filtered/portal_amazonia/venezuelanos/2022/02_mar/html/35175.85447_1599.html", "HTML")</f>
        <v/>
      </c>
      <c r="L244">
        <f>HYPERLINK("https://raw.githubusercontent.com/marcosmapl/dataset_imigrantes/main/noticias_filtered/portal_amazonia/venezuelanos/2022/02_mar/txt/35175.85447_1599.txt", "TXT")</f>
        <v/>
      </c>
    </row>
    <row r="245">
      <c r="A245" s="1" t="n">
        <v>243</v>
      </c>
      <c r="B245" t="n">
        <v>2022</v>
      </c>
      <c r="C245" s="2" t="n">
        <v>44623.54166666666</v>
      </c>
      <c r="D245" t="inlineStr">
        <is>
          <t>PORTAL AMAZONIA</t>
        </is>
      </c>
      <c r="E245" t="inlineStr">
        <is>
          <t>VENEZUELANOS</t>
        </is>
      </c>
      <c r="F245" t="inlineStr">
        <is>
          <t>AMAZÔNIA INTERNACIONAL</t>
        </is>
      </c>
      <c r="G245" t="inlineStr">
        <is>
          <t>REDAÇÃO - JORNALISMO@PORTALAMAZONIA.COM</t>
        </is>
      </c>
      <c r="H245" t="inlineStr">
        <is>
          <t>SAIBA QUANTOS AMAZONAS EXISTEM NA AMAZÔNIA INTERNACIONAL</t>
        </is>
      </c>
      <c r="I245" t="inlineStr">
        <is>
          <t>UM É O MAIOR ESTADO BRASILEIRO, MAS OUTROS PAÍSES TAMBÉM POSSUEM UM AMAZONAS PARA CHAMAR DE SEU.</t>
        </is>
      </c>
      <c r="J245">
        <f>HYPERLINK("https://portalamazonia.com/estados/amazonia-internacional/saiba-quantos-amazonas-existem-na-amazonia-internacional", "URL")</f>
        <v/>
      </c>
      <c r="K245">
        <f>HYPERLINK("https://raw.githubusercontent.com/marcosmapl/dataset_imigrantes/main/noticias_filtered/portal_amazonia/venezuelanos/2022/02_mar/html/35170.85418_1446.html", "HTML")</f>
        <v/>
      </c>
      <c r="L245">
        <f>HYPERLINK("https://raw.githubusercontent.com/marcosmapl/dataset_imigrantes/main/noticias_filtered/portal_amazonia/venezuelanos/2022/02_mar/txt/35170.85418_1446.txt", "TXT")</f>
        <v/>
      </c>
    </row>
    <row r="246">
      <c r="A246" s="1" t="n">
        <v>244</v>
      </c>
      <c r="B246" t="n">
        <v>2022</v>
      </c>
      <c r="C246" s="2" t="n">
        <v>44623.52186925926</v>
      </c>
      <c r="D246" t="inlineStr">
        <is>
          <t>G1</t>
        </is>
      </c>
      <c r="E246" t="inlineStr">
        <is>
          <t>VENEZUELANOS</t>
        </is>
      </c>
      <c r="F246" t="inlineStr">
        <is>
          <t>SANTARÉM E REGIÃO</t>
        </is>
      </c>
      <c r="G246" t="inlineStr">
        <is>
          <t>SÍLVIA VIEIRA, G1 SANTARÉM E REGIÃO — PA</t>
        </is>
      </c>
      <c r="H246" t="inlineStr">
        <is>
          <t>VENEZUELANO E COMPARSA SÃO PRESOS POR TRÁFICO DE DROGAS EM RURÓPOLIS DURANTE RONDA DA PM</t>
        </is>
      </c>
      <c r="I246" t="inlineStr">
        <is>
          <t>POLÍCIA CIVIL SOLICITOU À JUSTIÇA A CONVERSÃO DO FLAGRANTE DA DUPLA EM PRISÃO PREVENTIVA.</t>
        </is>
      </c>
      <c r="J246">
        <f>HYPERLINK("https://g1.globo.com/pa/santarem-regiao/noticia/2022/03/03/venezuelano-e-comparsa-sao-presos-por-trafico-de-drogas-em-ruropolis-durante-ronda-da-pm.ghtml", "URL")</f>
        <v/>
      </c>
      <c r="K246">
        <f>HYPERLINK("https://raw.githubusercontent.com/marcosmapl/dataset_imigrantes/main/noticias_filtered/g1/venezuelanos/2022/02_mar/html/g1_39c5aa86-2309-11ed-b24f-6dbe51e79fca_2434.html", "HTML")</f>
        <v/>
      </c>
      <c r="L246">
        <f>HYPERLINK("https://raw.githubusercontent.com/marcosmapl/dataset_imigrantes/main/noticias_filtered/g1/venezuelanos/2022/02_mar/txt/g1_39c5aa86-2309-11ed-b24f-6dbe51e79fca_2434.txt", "TXT")</f>
        <v/>
      </c>
    </row>
    <row r="247">
      <c r="A247" s="1" t="n">
        <v>245</v>
      </c>
      <c r="B247" t="n">
        <v>2022</v>
      </c>
      <c r="C247" s="2" t="n">
        <v>44620.81332145834</v>
      </c>
      <c r="D247" t="inlineStr">
        <is>
          <t>G1</t>
        </is>
      </c>
      <c r="E247" t="inlineStr">
        <is>
          <t>VENEZUELANOS</t>
        </is>
      </c>
      <c r="F247" t="inlineStr">
        <is>
          <t>MINAS GERAIS</t>
        </is>
      </c>
      <c r="G247" t="inlineStr">
        <is>
          <t>THAIS PIMENTEL, G1 MINAS — BELO HORIZONTE</t>
        </is>
      </c>
      <c r="H247" t="inlineStr">
        <is>
          <t>PASSAGEIROS DENUNCIAM QUE INDÍGENAS VENEZUELANOS SÃO CONSTANTEMENTE HOSTILIZADOS EM ÔNIBUS DE BH</t>
        </is>
      </c>
      <c r="I247" t="inlineStr">
        <is>
          <t>UM VÍDEO FEITO NA SEXTA-FEIRA (25) MOSTRA UMA FAMÍLIA INTEIRA SENTADA NOS DEGRAUS DE UM COLETIVO. A MULHER QUE FILMOU ALEGA QUE ELES SÃO SEMPRE IGNORADOS.</t>
        </is>
      </c>
      <c r="J247">
        <f>HYPERLINK("https://g1.globo.com/mg/minas-gerais/noticia/2022/02/28/passageiros-denunciam-que-indigenas-venezuelanos-sao-constantemente-hostilizados-em-onibus-de-bh.ghtml", "URL")</f>
        <v/>
      </c>
      <c r="K247">
        <f>HYPERLINK("https://raw.githubusercontent.com/marcosmapl/dataset_imigrantes/main/noticias_filtered/g1/venezuelanos/2022/01_fev/html/g1_20ab18e4-2325-11ed-b24f-6dbe51e79fca_3897.html", "HTML")</f>
        <v/>
      </c>
      <c r="L247">
        <f>HYPERLINK("https://raw.githubusercontent.com/marcosmapl/dataset_imigrantes/main/noticias_filtered/g1/venezuelanos/2022/01_fev/txt/g1_20ab18e4-2325-11ed-b24f-6dbe51e79fca_3897.txt", "TXT")</f>
        <v/>
      </c>
    </row>
    <row r="248">
      <c r="A248" s="1" t="n">
        <v>246</v>
      </c>
      <c r="B248" t="n">
        <v>2022</v>
      </c>
      <c r="C248" s="2" t="n">
        <v>44620.47437287037</v>
      </c>
      <c r="D248" t="inlineStr">
        <is>
          <t>G1</t>
        </is>
      </c>
      <c r="E248" t="inlineStr">
        <is>
          <t>HAITIANOS</t>
        </is>
      </c>
      <c r="F248" t="inlineStr">
        <is>
          <t>PARANÁ</t>
        </is>
      </c>
      <c r="G248" t="inlineStr">
        <is>
          <t>RPC CURITIBA</t>
        </is>
      </c>
      <c r="H248" t="inlineStr">
        <is>
          <t>HAITIANO É MORTO A TIROS DENTRO DE CARRO EM CURITIBA, DIZ PM</t>
        </is>
      </c>
      <c r="I248" t="inlineStr">
        <is>
          <t>CASO OCORREU NO BAIRRO ALTO BOQUEIRÃO, NA MADRUGADA DESTA SEGUNDA-FEIRA (28). CÂMERAS DE SEGURANÇA REGISTRARAM O CRIME; NINGUÉM FOI PRESO.</t>
        </is>
      </c>
      <c r="J248">
        <f>HYPERLINK("https://g1.globo.com/pr/parana/noticia/2022/02/28/haitiano-e-morto-a-tiros-dentro-de-carro-em-curitiba-diz-pm.ghtml", "URL")</f>
        <v/>
      </c>
      <c r="K248">
        <f>HYPERLINK("https://raw.githubusercontent.com/marcosmapl/dataset_imigrantes/main/noticias_filtered/g1/haitianos/2022/01_fev/html/g1_94941d60-22f2-11ed-b24f-6dbe51e79fca_1805.html", "HTML")</f>
        <v/>
      </c>
      <c r="L248">
        <f>HYPERLINK("https://raw.githubusercontent.com/marcosmapl/dataset_imigrantes/main/noticias_filtered/g1/haitianos/2022/01_fev/txt/g1_94941d60-22f2-11ed-b24f-6dbe51e79fca_1805.txt", "TXT")</f>
        <v/>
      </c>
    </row>
    <row r="249">
      <c r="A249" s="1" t="n">
        <v>247</v>
      </c>
      <c r="B249" t="n">
        <v>2022</v>
      </c>
      <c r="C249" s="2" t="n">
        <v>44618.55391203704</v>
      </c>
      <c r="D249" t="inlineStr">
        <is>
          <t>A CRITICA</t>
        </is>
      </c>
      <c r="E249" t="inlineStr">
        <is>
          <t>VENEZUELANOS</t>
        </is>
      </c>
      <c r="F249" t="inlineStr"/>
      <c r="G249" t="inlineStr">
        <is>
          <t>NATASHA PINTO</t>
        </is>
      </c>
      <c r="H249" t="inlineStr">
        <is>
          <t>FORAGIDO CANADENSE QUE SE PASSAVA POR VENEZUELANO É PRESO EM MANAUS</t>
        </is>
      </c>
      <c r="I249" t="inlineStr">
        <is>
          <t>HOMEM TINHA MANDATOS DE PRISÃO POR COMETER CRIMES COMO EXPLORAÇÃO SEXUAL DE MENORES E POSSE DE ARMA DE FOGO. OS CRIMES FORAM COMETIDOS NA COLÔMBIA</t>
        </is>
      </c>
      <c r="J249">
        <f>HYPERLINK("https://www.acritica.com/foragido-canadense-que-se-passava-por-venezuelano-e-preso-em-manaus-1.154776", "URL")</f>
        <v/>
      </c>
      <c r="K249">
        <f>HYPERLINK("https://raw.githubusercontent.com/marcosmapl/dataset_imigrantes/main/noticias_filtered/a_critica/venezuelanos/2022/01_fev/html/1.154776_228.html", "HTML")</f>
        <v/>
      </c>
      <c r="L249">
        <f>HYPERLINK("https://raw.githubusercontent.com/marcosmapl/dataset_imigrantes/main/noticias_filtered/a_critica/venezuelanos/2022/01_fev/txt/1.154776_228.txt", "TXT")</f>
        <v/>
      </c>
    </row>
    <row r="250">
      <c r="A250" s="1" t="n">
        <v>248</v>
      </c>
      <c r="B250" t="n">
        <v>2022</v>
      </c>
      <c r="C250" s="2" t="n">
        <v>44617.88043041667</v>
      </c>
      <c r="D250" t="inlineStr">
        <is>
          <t>G1</t>
        </is>
      </c>
      <c r="E250" t="inlineStr">
        <is>
          <t>VENEZUELANOS</t>
        </is>
      </c>
      <c r="F250" t="inlineStr">
        <is>
          <t>RORAIMA</t>
        </is>
      </c>
      <c r="G250" t="inlineStr">
        <is>
          <t>CAÍQUE RODRIGUES, G1 RR — BOA VISTA</t>
        </is>
      </c>
      <c r="H250" t="inlineStr">
        <is>
          <t>VENEZUELA REABRE FRONTEIRA COM O BRASIL; ITAMARATY DIZ QUE NÃO FOI COMUNICADO</t>
        </is>
      </c>
      <c r="I250" t="inlineStr">
        <is>
          <t>FRONTEIRA DO LADO VENEZUELANO ESTAVA FECHADA DESDE 22 DE DEZEMBRO DE 2020, SEGUNDO A PREFEITURA DE PACARAIMA, MUNICÍPIO BRASILEIRO VIZINHO AO PAÍS.</t>
        </is>
      </c>
      <c r="J250">
        <f>HYPERLINK("https://g1.globo.com/rr/roraima/noticia/2022/02/25/venezuela-reabre-fronteira-com-o-brasil-itamaraty-diz-que-nao-foi-comunicado.ghtml", "URL")</f>
        <v/>
      </c>
      <c r="K250">
        <f>HYPERLINK("https://raw.githubusercontent.com/marcosmapl/dataset_imigrantes/main/noticias_filtered/g1/venezuelanos/2022/01_fev/html/g1_97ab54f0-231a-11ed-b24f-6dbe51e79fca_3343.html", "HTML")</f>
        <v/>
      </c>
      <c r="L250">
        <f>HYPERLINK("https://raw.githubusercontent.com/marcosmapl/dataset_imigrantes/main/noticias_filtered/g1/venezuelanos/2022/01_fev/txt/g1_97ab54f0-231a-11ed-b24f-6dbe51e79fca_3343.txt", "TXT")</f>
        <v/>
      </c>
    </row>
    <row r="251">
      <c r="A251" s="1" t="n">
        <v>249</v>
      </c>
      <c r="B251" t="n">
        <v>2022</v>
      </c>
      <c r="C251" s="2" t="n">
        <v>44616.41721318287</v>
      </c>
      <c r="D251" t="inlineStr">
        <is>
          <t>G1</t>
        </is>
      </c>
      <c r="E251" t="inlineStr">
        <is>
          <t>VENEZUELANOS</t>
        </is>
      </c>
      <c r="F251" t="inlineStr">
        <is>
          <t>RORAIMA</t>
        </is>
      </c>
      <c r="G251" t="inlineStr">
        <is>
          <t>G1 RR — BOA VISTA</t>
        </is>
      </c>
      <c r="H251" t="inlineStr">
        <is>
          <t>VISÃO MUNDIAL OFERECE 50 VAGAS PARA BRASILEIROS E VENEZUELANOS EM CURSOS PROFISSIONALIZANTES EM RR</t>
        </is>
      </c>
      <c r="I251" t="inlineStr">
        <is>
          <t>INSCRIÇÕES OCORREM DE 24 DE FEVEREIRO A 11 DE MARÇO, NA SEDE DA ADRA EM BOA VISTA</t>
        </is>
      </c>
      <c r="J251">
        <f>HYPERLINK("https://g1.globo.com/rr/roraima/noticia/2022/02/24/visao-mundial-oferece-50-vagas-para-brasileiros-e-venezuelanos-em-cursos-profissionalizantes-em-rr.ghtml", "URL")</f>
        <v/>
      </c>
      <c r="K251">
        <f>HYPERLINK("https://raw.githubusercontent.com/marcosmapl/dataset_imigrantes/main/noticias_filtered/g1/venezuelanos/2022/01_fev/html/g1_811547be-231f-11ed-b24f-6dbe51e79fca_3627.html", "HTML")</f>
        <v/>
      </c>
      <c r="L251">
        <f>HYPERLINK("https://raw.githubusercontent.com/marcosmapl/dataset_imigrantes/main/noticias_filtered/g1/venezuelanos/2022/01_fev/txt/g1_811547be-231f-11ed-b24f-6dbe51e79fca_3627.txt", "TXT")</f>
        <v/>
      </c>
    </row>
    <row r="252">
      <c r="A252" s="1" t="n">
        <v>250</v>
      </c>
      <c r="B252" t="n">
        <v>2022</v>
      </c>
      <c r="C252" s="2" t="n">
        <v>44613.62479017361</v>
      </c>
      <c r="D252" t="inlineStr">
        <is>
          <t>G1</t>
        </is>
      </c>
      <c r="E252" t="inlineStr">
        <is>
          <t>HAITIANOS</t>
        </is>
      </c>
      <c r="F252" t="inlineStr">
        <is>
          <t>MUNDO</t>
        </is>
      </c>
      <c r="G252" t="inlineStr">
        <is>
          <t>VALOR ONLINE</t>
        </is>
      </c>
      <c r="H252" t="inlineStr">
        <is>
          <t>REPÚBLICA DOMINICANA INICIA CONSTRUÇÃO DE MURO NA FRONTEIRA COM O HAITI</t>
        </is>
      </c>
      <c r="I252" t="inlineStr">
        <is>
          <t>SEGUNDO O PRESIDENTE DO PAÍS, MURO VISA COIBIR A IMIGRAÇÃO ILEGAL E O TRÁFICO. HAITI É O PAÍS MAIS POBRE DAS AMÉRICAS E MUITOS HAITIANOS CRUZAM A FRONTEIRA EM BUSCA DE EMPREGO.</t>
        </is>
      </c>
      <c r="J252">
        <f>HYPERLINK("https://g1.globo.com/noticia/2022/02/21/republica-dominicana-inicia-construcao-de-muro-na-fronteira-com-o-haiti.ghtml", "URL")</f>
        <v/>
      </c>
      <c r="K252">
        <f>HYPERLINK("https://raw.githubusercontent.com/marcosmapl/dataset_imigrantes/main/noticias_filtered/g1/haitianos/2022/01_fev/html/g1_0c8251f8-22f7-11ed-b24f-6dbe51e79fca_2055.html", "HTML")</f>
        <v/>
      </c>
      <c r="L252">
        <f>HYPERLINK("https://raw.githubusercontent.com/marcosmapl/dataset_imigrantes/main/noticias_filtered/g1/haitianos/2022/01_fev/txt/g1_0c8251f8-22f7-11ed-b24f-6dbe51e79fca_2055.txt", "TXT")</f>
        <v/>
      </c>
    </row>
    <row r="253">
      <c r="A253" s="1" t="n">
        <v>251</v>
      </c>
      <c r="B253" t="n">
        <v>2022</v>
      </c>
      <c r="C253" s="2" t="n">
        <v>44612.83961006944</v>
      </c>
      <c r="D253" t="inlineStr">
        <is>
          <t>G1</t>
        </is>
      </c>
      <c r="E253" t="inlineStr">
        <is>
          <t>VENEZUELANOS</t>
        </is>
      </c>
      <c r="F253" t="inlineStr">
        <is>
          <t>TRIÂNGULO E ALTO PARANAÍBA</t>
        </is>
      </c>
      <c r="G253" t="inlineStr">
        <is>
          <t>MARIA JÚLIA ARAÚJO, G1 TRIÂNGULO E ALTO PARANAÍBA — UBERABA</t>
        </is>
      </c>
      <c r="H253" t="inlineStr">
        <is>
          <t>INDÍGENAS VENEZUELANOS REFUGIADOS DA CRISE RECLAMAM DE FALTA DE SUPORTE EM UBERABA: 'QUEREMOS UMA VIDA NOVA'</t>
        </is>
      </c>
      <c r="I253" t="inlineStr">
        <is>
          <t>FAMÍLIAS CHEGARAM AO MUNICÍPIO EM 2021, MAS ALGUNS DELES ESTÃO NO BRASIL DESDE 2017, E JÁ PASSARAM POR CIDADES COMO UBERLÂNDIA, PACARAIMA (RO) E MANAUS (AM). ELES ALEGAM QUE O MOTIVO DA MUDANÇA FREQUENTE É A FALTA DE TRABALHO; VEJA O QUE DISSE A PREFEITURA E ENTENDA A SITUAÇÃO DA VENEZUELA.</t>
        </is>
      </c>
      <c r="J253">
        <f>HYPERLINK("https://g1.globo.com/mg/triangulo-mineiro/noticia/2022/02/20/indigenas-venezuelanos-refugiados-da-crise-reclamam-de-falta-de-suporte-em-uberaba-queremos-uma-vida-nova.ghtml", "URL")</f>
        <v/>
      </c>
      <c r="K253">
        <f>HYPERLINK("https://raw.githubusercontent.com/marcosmapl/dataset_imigrantes/main/noticias_filtered/g1/venezuelanos/2022/01_fev/html/g1_caa84ab0-230c-11ed-b24f-6dbe51e79fca_2647.html", "HTML")</f>
        <v/>
      </c>
      <c r="L253">
        <f>HYPERLINK("https://raw.githubusercontent.com/marcosmapl/dataset_imigrantes/main/noticias_filtered/g1/venezuelanos/2022/01_fev/txt/g1_caa84ab0-230c-11ed-b24f-6dbe51e79fca_2647.txt", "TXT")</f>
        <v/>
      </c>
    </row>
    <row r="254">
      <c r="A254" s="1" t="n">
        <v>252</v>
      </c>
      <c r="B254" t="n">
        <v>2022</v>
      </c>
      <c r="C254" s="2" t="n">
        <v>44611.55034347222</v>
      </c>
      <c r="D254" t="inlineStr">
        <is>
          <t>G1</t>
        </is>
      </c>
      <c r="E254" t="inlineStr">
        <is>
          <t>VENEZUELANOS</t>
        </is>
      </c>
      <c r="F254" t="inlineStr">
        <is>
          <t>ESPÍRITO SANTO</t>
        </is>
      </c>
      <c r="G254" t="inlineStr">
        <is>
          <t>G1 ES</t>
        </is>
      </c>
      <c r="H254" t="inlineStr">
        <is>
          <t>SUSPEITO DE AGREDIR VENEZUELANO EM POSTO DE COMBUSTÍVEL DE VITÓRIA É LIBERADO DA PRISÃO</t>
        </is>
      </c>
      <c r="I254" t="inlineStr">
        <is>
          <t>AGRESSÃO ACONTECEU NO DIA 30 DE JANEIRO E O HOMEM EM SITUAÇÃO DE RUA SUSPEITO DO CRIME ESTAVA PRESO DESDE 11 DE FEVEREIRO. VENEZUELANO CONTINUA INTERNADO.</t>
        </is>
      </c>
      <c r="J254">
        <f>HYPERLINK("https://g1.globo.com/es/espirito-santo/noticia/2022/02/19/suspeito-de-agredir-venezuelano-em-posto-de-combustivel-de-vitoria-e-liberado-da-prisao.ghtml", "URL")</f>
        <v/>
      </c>
      <c r="K254">
        <f>HYPERLINK("https://raw.githubusercontent.com/marcosmapl/dataset_imigrantes/main/noticias_filtered/g1/venezuelanos/2022/01_fev/html/g1_ac65e57c-2310-11ed-b24f-6dbe51e79fca_2869.html", "HTML")</f>
        <v/>
      </c>
      <c r="L254">
        <f>HYPERLINK("https://raw.githubusercontent.com/marcosmapl/dataset_imigrantes/main/noticias_filtered/g1/venezuelanos/2022/01_fev/txt/g1_ac65e57c-2310-11ed-b24f-6dbe51e79fca_2869.txt", "TXT")</f>
        <v/>
      </c>
    </row>
    <row r="255">
      <c r="A255" s="1" t="n">
        <v>253</v>
      </c>
      <c r="B255" t="n">
        <v>2022</v>
      </c>
      <c r="C255" s="2" t="n">
        <v>44609.9603455787</v>
      </c>
      <c r="D255" t="inlineStr">
        <is>
          <t>G1</t>
        </is>
      </c>
      <c r="E255" t="inlineStr">
        <is>
          <t>VENEZUELANOS</t>
        </is>
      </c>
      <c r="F255" t="inlineStr">
        <is>
          <t>MINAS GERAIS</t>
        </is>
      </c>
      <c r="G255" t="inlineStr">
        <is>
          <t>MG2 — BELO HORIZONTE</t>
        </is>
      </c>
      <c r="H255" t="inlineStr">
        <is>
          <t>MUTIRÃO TENTA REGULARIZAR SITUAÇÃO DE INDÍGENAS VENEZUELANOS DA ETNIA WARAO REFUGIADOS EM BH</t>
        </is>
      </c>
      <c r="I255" t="inlineStr">
        <is>
          <t>SERVIÇO ATENDE A 82 PESSOAS, ENTRE ELAS, 15 CRIANÇAS, SEIS GESTANTES E UM CASAL DE IDOSOS.</t>
        </is>
      </c>
      <c r="J255">
        <f>HYPERLINK("https://g1.globo.com/mg/minas-gerais/noticia/2022/02/17/mutirao-tenta-regularizar-situacao-de-indios-venezuelanos-da-etnia-warao-refugiados-em-bh.ghtml", "URL")</f>
        <v/>
      </c>
      <c r="K255">
        <f>HYPERLINK("https://raw.githubusercontent.com/marcosmapl/dataset_imigrantes/main/noticias_filtered/g1/venezuelanos/2022/01_fev/html/g1_0101f612-2310-11ed-b24f-6dbe51e79fca_2833.html", "HTML")</f>
        <v/>
      </c>
      <c r="L255">
        <f>HYPERLINK("https://raw.githubusercontent.com/marcosmapl/dataset_imigrantes/main/noticias_filtered/g1/venezuelanos/2022/01_fev/txt/g1_0101f612-2310-11ed-b24f-6dbe51e79fca_2833.txt", "TXT")</f>
        <v/>
      </c>
    </row>
    <row r="256">
      <c r="A256" s="1" t="n">
        <v>254</v>
      </c>
      <c r="B256" t="n">
        <v>2022</v>
      </c>
      <c r="C256" s="2" t="n">
        <v>44609.76319444444</v>
      </c>
      <c r="D256" t="inlineStr">
        <is>
          <t>A CRITICA</t>
        </is>
      </c>
      <c r="E256" t="inlineStr">
        <is>
          <t>VENEZUELANOS</t>
        </is>
      </c>
      <c r="F256" t="inlineStr"/>
      <c r="G256" t="inlineStr">
        <is>
          <t>AFP</t>
        </is>
      </c>
      <c r="H256" t="inlineStr">
        <is>
          <t>VENEZUELA DETÉM 21 POR TRÁFICO, INCLUSIVE DEPUTADOS E PREFEITOS CHAVISTAS</t>
        </is>
      </c>
      <c r="I256" t="inlineStr">
        <is>
          <t>O PROCURADOR-GERAL TAREK WILLIAM SAAB AFIRMOU QUE AUTORIDADES ESTÃO DETIDAS E UM PROCESSO DE INVESTIGAÇÃO FOI ABERTO</t>
        </is>
      </c>
      <c r="J256">
        <f>HYPERLINK("https://www.acritica.com/venezuela-detem-21-por-trafico-inclusive-deputados-e-prefeitos-chavistas-1.154091", "URL")</f>
        <v/>
      </c>
      <c r="K256">
        <f>HYPERLINK("https://raw.githubusercontent.com/marcosmapl/dataset_imigrantes/main/noticias_filtered/a_critica/venezuelanos/2022/01_fev/html/1.154091_219.html", "HTML")</f>
        <v/>
      </c>
      <c r="L256">
        <f>HYPERLINK("https://raw.githubusercontent.com/marcosmapl/dataset_imigrantes/main/noticias_filtered/a_critica/venezuelanos/2022/01_fev/txt/1.154091_219.txt", "TXT")</f>
        <v/>
      </c>
    </row>
    <row r="257">
      <c r="A257" s="1" t="n">
        <v>255</v>
      </c>
      <c r="B257" t="n">
        <v>2022</v>
      </c>
      <c r="C257" s="2" t="n">
        <v>44609.55737556713</v>
      </c>
      <c r="D257" t="inlineStr">
        <is>
          <t>G1</t>
        </is>
      </c>
      <c r="E257" t="inlineStr">
        <is>
          <t>HAITIANOS</t>
        </is>
      </c>
      <c r="F257" t="inlineStr">
        <is>
          <t>RONDÔNIA</t>
        </is>
      </c>
      <c r="G257" t="inlineStr">
        <is>
          <t>JHENIFFER NÚBIA, G1 RO</t>
        </is>
      </c>
      <c r="H257" t="inlineStr">
        <is>
          <t>HAITIANO É BALEADO E ROUBADO APÓS SAIR DE BANCO COM R$ 13 MIL EM PORTO VELHO</t>
        </is>
      </c>
      <c r="I257" t="inlineStr">
        <is>
          <t>ESTRANGEIRO TRABALHA COMO MECÂNICO EM UMA EMPRESA DA CAPITAL. AO G1, O GERENTE INFORMOU QUE O FUNCIONÁRIO PASSOU POR UMA CIRURGIA E ESPERA PARA FAZER OUTRA.</t>
        </is>
      </c>
      <c r="J257">
        <f>HYPERLINK("https://g1.globo.com/ro/rondonia/noticia/2022/02/17/haitiano-e-baleado-e-roubado-apos-sair-de-banco-com-r-13-mil-em-porto-velho.ghtml", "URL")</f>
        <v/>
      </c>
      <c r="K257">
        <f>HYPERLINK("https://raw.githubusercontent.com/marcosmapl/dataset_imigrantes/main/noticias_filtered/g1/haitianos/2022/01_fev/html/g1_d915e19e-22b1-11ed-b24f-6dbe51e79fca_1638.html", "HTML")</f>
        <v/>
      </c>
      <c r="L257">
        <f>HYPERLINK("https://raw.githubusercontent.com/marcosmapl/dataset_imigrantes/main/noticias_filtered/g1/haitianos/2022/01_fev/txt/g1_d915e19e-22b1-11ed-b24f-6dbe51e79fca_1638.txt", "TXT")</f>
        <v/>
      </c>
    </row>
    <row r="258">
      <c r="A258" s="1" t="n">
        <v>256</v>
      </c>
      <c r="B258" t="n">
        <v>2022</v>
      </c>
      <c r="C258" s="2" t="n">
        <v>44606.62744821759</v>
      </c>
      <c r="D258" t="inlineStr">
        <is>
          <t>G1</t>
        </is>
      </c>
      <c r="E258" t="inlineStr">
        <is>
          <t>VENEZUELANOS</t>
        </is>
      </c>
      <c r="F258" t="inlineStr">
        <is>
          <t>RORAIMA</t>
        </is>
      </c>
      <c r="G258" t="inlineStr">
        <is>
          <t>G1 RR — BOA VISTA</t>
        </is>
      </c>
      <c r="H258" t="inlineStr">
        <is>
          <t>VENEZUELANO É ASSASSINADO COM DOIS TIROS NA CABEÇA NA ZONA OESTE DE BOA VISTA</t>
        </is>
      </c>
      <c r="I258" t="inlineStr">
        <is>
          <t>VÍTIMA DO HOMICÍDIO SE CHAMAVA JOSE JAVIER ROMERO, DE 29 ANOS. ELE ERA VENEZUELANO E TRABALHAVA COMO AJUDANTE DE PEDREIRO.</t>
        </is>
      </c>
      <c r="J258">
        <f>HYPERLINK("https://g1.globo.com/rr/roraima/noticia/2022/02/14/venezuelano-e-assassinado-com-dois-tiros-na-cabeca-n-zona-oeste-de-boa-vista.ghtml", "URL")</f>
        <v/>
      </c>
      <c r="K258">
        <f>HYPERLINK("https://raw.githubusercontent.com/marcosmapl/dataset_imigrantes/main/noticias_filtered/g1/venezuelanos/2022/01_fev/html/g1_dd4cc050-230d-11ed-b24f-6dbe51e79fca_2710.html", "HTML")</f>
        <v/>
      </c>
      <c r="L258">
        <f>HYPERLINK("https://raw.githubusercontent.com/marcosmapl/dataset_imigrantes/main/noticias_filtered/g1/venezuelanos/2022/01_fev/txt/g1_dd4cc050-230d-11ed-b24f-6dbe51e79fca_2710.txt", "TXT")</f>
        <v/>
      </c>
    </row>
    <row r="259">
      <c r="A259" s="1" t="n">
        <v>257</v>
      </c>
      <c r="B259" t="n">
        <v>2022</v>
      </c>
      <c r="C259" s="2" t="n">
        <v>44606.59941128473</v>
      </c>
      <c r="D259" t="inlineStr">
        <is>
          <t>G1</t>
        </is>
      </c>
      <c r="E259" t="inlineStr">
        <is>
          <t>VENEZUELANOS</t>
        </is>
      </c>
      <c r="F259" t="inlineStr">
        <is>
          <t>MUNDO</t>
        </is>
      </c>
      <c r="G259" t="inlineStr">
        <is>
          <t>G1</t>
        </is>
      </c>
      <c r="H259" t="inlineStr">
        <is>
          <t>NO CHILE, APÓS MORTE DE CAMINHONEIRO EM CONFRONTO COM VENEZUELANOS, ESTADO DE EXCEÇÃO ENTRA EM VIGOR</t>
        </is>
      </c>
      <c r="I259" t="inlineStr">
        <is>
          <t>NA SEMANA PASSADA,  UM CAMINHONEIRO DE 25 ANOS MORREU APÓS UM CONFRONTO COM MIGRANTES VENEZUELANOS.</t>
        </is>
      </c>
      <c r="J259">
        <f>HYPERLINK("https://g1.globo.com/mundo/noticia/2022/02/14/no-chile-apos-morte-de-caminhoneiro-em-confronto-com-venezuelanos-estado-de-excecao-entra-em-vigor.ghtml", "URL")</f>
        <v/>
      </c>
      <c r="K259">
        <f>HYPERLINK("https://raw.githubusercontent.com/marcosmapl/dataset_imigrantes/main/noticias_filtered/g1/venezuelanos/2022/01_fev/html/g1_1165ad86-2325-11ed-b24f-6dbe51e79fca_3895.html", "HTML")</f>
        <v/>
      </c>
      <c r="L259">
        <f>HYPERLINK("https://raw.githubusercontent.com/marcosmapl/dataset_imigrantes/main/noticias_filtered/g1/venezuelanos/2022/01_fev/txt/g1_1165ad86-2325-11ed-b24f-6dbe51e79fca_3895.txt", "TXT")</f>
        <v/>
      </c>
    </row>
    <row r="260">
      <c r="A260" s="1" t="n">
        <v>258</v>
      </c>
      <c r="B260" t="n">
        <v>2022</v>
      </c>
      <c r="C260" s="2" t="n">
        <v>44605.67688099537</v>
      </c>
      <c r="D260" t="inlineStr">
        <is>
          <t>G1</t>
        </is>
      </c>
      <c r="E260" t="inlineStr">
        <is>
          <t>VENEZUELANOS</t>
        </is>
      </c>
      <c r="F260" t="inlineStr">
        <is>
          <t>TRIÂNGULO E ALTO PARANAÍBA</t>
        </is>
      </c>
      <c r="G260" t="inlineStr">
        <is>
          <t>G1 TRIÂNGULO E ALTO PARANAÍBA — UBERABA</t>
        </is>
      </c>
      <c r="H260" t="inlineStr">
        <is>
          <t>CÁRITAS ARQUIDIOCESANA DE UBERABA ARRECADAM MOBÍLIA PARA CASA DE ACOLHIMENTO DE VENEZUELANOS</t>
        </is>
      </c>
      <c r="I260" t="inlineStr">
        <is>
          <t>SEGUNDO A INSTITUIÇÃO, SERÃO RECEBIDAS FAMÍLIAS EM VULNERABILIDADE QUE ESTÃO ABRIGADAS NO ESTADO DE RORAIMA. VEJA COMO AJUDAR.</t>
        </is>
      </c>
      <c r="J260">
        <f>HYPERLINK("https://g1.globo.com/mg/triangulo-mineiro/noticia/2022/02/13/caritas-arquidiocesana-de-uberaba-arrecadam-mobilia-para-casa-de-acolhimento-de-venezuelanos.ghtml", "URL")</f>
        <v/>
      </c>
      <c r="K260">
        <f>HYPERLINK("https://raw.githubusercontent.com/marcosmapl/dataset_imigrantes/main/noticias_filtered/g1/venezuelanos/2022/01_fev/html/g1_7e72ec66-232c-11ed-b24f-6dbe51e79fca_4308.html", "HTML")</f>
        <v/>
      </c>
      <c r="L260">
        <f>HYPERLINK("https://raw.githubusercontent.com/marcosmapl/dataset_imigrantes/main/noticias_filtered/g1/venezuelanos/2022/01_fev/txt/g1_7e72ec66-232c-11ed-b24f-6dbe51e79fca_4308.txt", "TXT")</f>
        <v/>
      </c>
    </row>
    <row r="261">
      <c r="A261" s="1" t="n">
        <v>259</v>
      </c>
      <c r="B261" t="n">
        <v>2022</v>
      </c>
      <c r="C261" s="2" t="n">
        <v>44605.54385113426</v>
      </c>
      <c r="D261" t="inlineStr">
        <is>
          <t>G1</t>
        </is>
      </c>
      <c r="E261" t="inlineStr">
        <is>
          <t>VENEZUELANOS</t>
        </is>
      </c>
      <c r="F261" t="inlineStr">
        <is>
          <t>RIO DE JANEIRO</t>
        </is>
      </c>
      <c r="G261" t="inlineStr">
        <is>
          <t>MARCELO COSME E DIEGO HAIDAR, GLOBO COMUNIDADE</t>
        </is>
      </c>
      <c r="H261" t="inlineStr">
        <is>
          <t>VENEZUELANA TRAZ OS FILHOS PARA O BRASIL APÓS ANOS DE TRABALHO E SOLIDARIEDADE: 'VIDA DIGNA'</t>
        </is>
      </c>
      <c r="I261" t="inlineStr">
        <is>
          <t>'TENTANDO QUE MEUS FILHOS TENHAM UM FUTURO À FRENTE', DIZ A COZINHEIRA ISABEL SUAREZ.</t>
        </is>
      </c>
      <c r="J261">
        <f>HYPERLINK("https://g1.globo.com/rj/rio-de-janeiro/noticia/2022/02/13/venezuelana-consegue-trazer-os-filhos-para-o-brasil-apos-muito-trabalho-e-solidariedade.ghtml", "URL")</f>
        <v/>
      </c>
      <c r="K261">
        <f>HYPERLINK("https://raw.githubusercontent.com/marcosmapl/dataset_imigrantes/main/noticias_filtered/g1/venezuelanos/2022/01_fev/html/g1_a1c3bb26-2329-11ed-b24f-6dbe51e79fca_4128.html", "HTML")</f>
        <v/>
      </c>
      <c r="L261">
        <f>HYPERLINK("https://raw.githubusercontent.com/marcosmapl/dataset_imigrantes/main/noticias_filtered/g1/venezuelanos/2022/01_fev/txt/g1_a1c3bb26-2329-11ed-b24f-6dbe51e79fca_4128.txt", "TXT")</f>
        <v/>
      </c>
    </row>
    <row r="262">
      <c r="A262" s="1" t="n">
        <v>260</v>
      </c>
      <c r="B262" t="n">
        <v>2022</v>
      </c>
      <c r="C262" s="2" t="n">
        <v>44604.70925912037</v>
      </c>
      <c r="D262" t="inlineStr">
        <is>
          <t>G1</t>
        </is>
      </c>
      <c r="E262" t="inlineStr">
        <is>
          <t>VENEZUELANOS</t>
        </is>
      </c>
      <c r="F262" t="inlineStr">
        <is>
          <t>ESPÍRITO SANTO</t>
        </is>
      </c>
      <c r="G262" t="inlineStr">
        <is>
          <t>TV GAZETA</t>
        </is>
      </c>
      <c r="H262" t="inlineStr">
        <is>
          <t>VENEZUELANO É INTERNADO EM ESTADO GRAVE APÓS SER AGREDIDO NO ES</t>
        </is>
      </c>
      <c r="I262" t="inlineStr">
        <is>
          <t>AGRESSÃO ACONTECEU NO DIA 30 DE JANEIRO E O AGRESSOR FOI PRESO NESTA SEXTA-FEIRA (11).</t>
        </is>
      </c>
      <c r="J262">
        <f>HYPERLINK("https://g1.globo.com/es/espirito-santo/noticia/2022/02/12/venezuelano-e-internado-em-estado-grave-apos-ser-agredido-por-homem-no-es.ghtml", "URL")</f>
        <v/>
      </c>
      <c r="K262">
        <f>HYPERLINK("https://raw.githubusercontent.com/marcosmapl/dataset_imigrantes/main/noticias_filtered/g1/venezuelanos/2022/01_fev/html/g1_d84d4404-2307-11ed-b24f-6dbe51e79fca_2346.html", "HTML")</f>
        <v/>
      </c>
      <c r="L262">
        <f>HYPERLINK("https://raw.githubusercontent.com/marcosmapl/dataset_imigrantes/main/noticias_filtered/g1/venezuelanos/2022/01_fev/txt/g1_d84d4404-2307-11ed-b24f-6dbe51e79fca_2346.txt", "TXT")</f>
        <v/>
      </c>
    </row>
    <row r="263">
      <c r="A263" s="1" t="n">
        <v>261</v>
      </c>
      <c r="B263" t="n">
        <v>2022</v>
      </c>
      <c r="C263" s="2" t="n">
        <v>44604.40962971065</v>
      </c>
      <c r="D263" t="inlineStr">
        <is>
          <t>G1</t>
        </is>
      </c>
      <c r="E263" t="inlineStr">
        <is>
          <t>VENEZUELANOS</t>
        </is>
      </c>
      <c r="F263" t="inlineStr">
        <is>
          <t>SANTOS E REGIÃO</t>
        </is>
      </c>
      <c r="G263" t="inlineStr">
        <is>
          <t>BRUNO ALMEIDA, G1 SANTOS</t>
        </is>
      </c>
      <c r="H263" t="inlineStr">
        <is>
          <t>VENEZUELANOS IMPLORAM POR AJUDA EM SP APÓS FECHAREM RESTAURANTE NO PAÍS DE ORIGEM: 'NO BRASIL SÃO ACOLHEDORES'</t>
        </is>
      </c>
      <c r="I263" t="inlineStr">
        <is>
          <t>FOTO DE HOMEM COM CARTAZ PEDINDO AJUDA EM SANTOS (SP) CIRCULOU NAS REDES SOCIAIS E EM GRUPOS DE APLICATIVOS DE MENSAGEM.</t>
        </is>
      </c>
      <c r="J263">
        <f>HYPERLINK("https://g1.globo.com/sp/santos-regiao/noticia/2022/02/12/venezuelanos-imploram-por-ajuda-em-sp-apos-fecharem-restaurante-no-pais-de-origem-no-brasil-sao-acolhedores.ghtml", "URL")</f>
        <v/>
      </c>
      <c r="K263">
        <f>HYPERLINK("https://raw.githubusercontent.com/marcosmapl/dataset_imigrantes/main/noticias_filtered/g1/venezuelanos/2022/01_fev/html/g1_7eb5eeb6-2323-11ed-b24f-6dbe51e79fca_3810.html", "HTML")</f>
        <v/>
      </c>
      <c r="L263">
        <f>HYPERLINK("https://raw.githubusercontent.com/marcosmapl/dataset_imigrantes/main/noticias_filtered/g1/venezuelanos/2022/01_fev/txt/g1_7eb5eeb6-2323-11ed-b24f-6dbe51e79fca_3810.txt", "TXT")</f>
        <v/>
      </c>
    </row>
    <row r="264">
      <c r="A264" s="1" t="n">
        <v>262</v>
      </c>
      <c r="B264" t="n">
        <v>2022</v>
      </c>
      <c r="C264" s="2" t="n">
        <v>44603.61459379629</v>
      </c>
      <c r="D264" t="inlineStr">
        <is>
          <t>G1</t>
        </is>
      </c>
      <c r="E264" t="inlineStr">
        <is>
          <t>VENEZUELANOS</t>
        </is>
      </c>
      <c r="F264" t="inlineStr">
        <is>
          <t>RORAIMA</t>
        </is>
      </c>
      <c r="G264" t="inlineStr">
        <is>
          <t>G1 RR — BOA VISTA</t>
        </is>
      </c>
      <c r="H264" t="inlineStr">
        <is>
          <t>LÍDER DE ORGANIZAÇÃO CRIMINOSA VENEZUELANA PROCURADO PELA INTERPOL É PRESO EM BOA VISTA</t>
        </is>
      </c>
      <c r="I264" t="inlineStr">
        <is>
          <t>JOSÉ JESUS, CONHECIDO COMO 'EL CHUCHU', DE 32 ANOS, ERA CONSIDERADO UM DOS CRIMINOSOS MAIS PROCURADOS DA VENEZUELA E LIDERAVA GRUPO QUE ENVIADA CARROS ROUBADOS PARA PAÍSES DO MERCOSUL.</t>
        </is>
      </c>
      <c r="J264">
        <f>HYPERLINK("https://g1.globo.com/rr/roraima/noticia/2022/02/11/lider-de-organizacao-criminosa-venezuelana-procurado-pela-interpol-e-preso-em-boa-vista.ghtml", "URL")</f>
        <v/>
      </c>
      <c r="K264">
        <f>HYPERLINK("https://raw.githubusercontent.com/marcosmapl/dataset_imigrantes/main/noticias_filtered/g1/venezuelanos/2022/01_fev/html/g1_dc8cbf00-2329-11ed-b24f-6dbe51e79fca_4144.html", "HTML")</f>
        <v/>
      </c>
      <c r="L264">
        <f>HYPERLINK("https://raw.githubusercontent.com/marcosmapl/dataset_imigrantes/main/noticias_filtered/g1/venezuelanos/2022/01_fev/txt/g1_dc8cbf00-2329-11ed-b24f-6dbe51e79fca_4144.txt", "TXT")</f>
        <v/>
      </c>
    </row>
    <row r="265">
      <c r="A265" s="1" t="n">
        <v>263</v>
      </c>
      <c r="B265" t="n">
        <v>2022</v>
      </c>
      <c r="C265" s="2" t="n">
        <v>44603.16708125</v>
      </c>
      <c r="D265" t="inlineStr">
        <is>
          <t>G1</t>
        </is>
      </c>
      <c r="E265" t="inlineStr">
        <is>
          <t>VENEZUELANOS</t>
        </is>
      </c>
      <c r="F265" t="inlineStr">
        <is>
          <t>MUNDO</t>
        </is>
      </c>
      <c r="G265" t="inlineStr">
        <is>
          <t>G1</t>
        </is>
      </c>
      <c r="H265" t="inlineStr">
        <is>
          <t>EM DESENHO ANIMADO, ‘SUPERBIGODE’, HERÓI INSPIRADO EM MADURO, DERROTA MONSTRO DOS EUA; ASSISTA</t>
        </is>
      </c>
      <c r="I265" t="inlineStr">
        <is>
          <t>DIVULGADO PELO PRÓPRIO PRESIDENTE, EPISÓDIO MOSTRA SUPER-HERÓI COMBATENDO VILÕES QUE TENTAM IMPEDIR HOSPITAL INFANTIL DE RECEBER AJUDA. FIGURAS DA OPOSIÇÃO VENEZUELANA TAMBÉM SÃO SATIRIZADAS E APARECEM COMO CÚMPLICES DE DONALD TRUMP.</t>
        </is>
      </c>
      <c r="J265">
        <f>HYPERLINK("https://g1.globo.com/mundo/noticia/2022/02/11/em-desenho-animado-superbigode-heroi-inspirado-em-maduro-derrota-monstro-dos-eua-assista.ghtml", "URL")</f>
        <v/>
      </c>
      <c r="K265">
        <f>HYPERLINK("https://raw.githubusercontent.com/marcosmapl/dataset_imigrantes/main/noticias_filtered/g1/venezuelanos/2022/01_fev/html/g1_b5695140-230b-11ed-b24f-6dbe51e79fca_2582.html", "HTML")</f>
        <v/>
      </c>
      <c r="L265">
        <f>HYPERLINK("https://raw.githubusercontent.com/marcosmapl/dataset_imigrantes/main/noticias_filtered/g1/venezuelanos/2022/01_fev/txt/g1_b5695140-230b-11ed-b24f-6dbe51e79fca_2582.txt", "TXT")</f>
        <v/>
      </c>
    </row>
    <row r="266">
      <c r="A266" s="1" t="n">
        <v>264</v>
      </c>
      <c r="B266" t="n">
        <v>2022</v>
      </c>
      <c r="C266" s="2" t="n">
        <v>44602.68900364584</v>
      </c>
      <c r="D266" t="inlineStr">
        <is>
          <t>G1</t>
        </is>
      </c>
      <c r="E266" t="inlineStr">
        <is>
          <t>VENEZUELANOS</t>
        </is>
      </c>
      <c r="F266" t="inlineStr">
        <is>
          <t>RIO DE JANEIRO</t>
        </is>
      </c>
      <c r="G266" t="inlineStr">
        <is>
          <t>DANILO VIEIRA, AMANDA PRADO, FELIPE MAGALHÃES, LUCIANA BERLING E SÉRGIO TELLES, RJ1</t>
        </is>
      </c>
      <c r="H266" t="inlineStr">
        <is>
          <t>MORRO DO BANCO,NO ITANHANGÁ, É O LOCAL COM MAIOR CONCENTRAÇÃO DE VENEZUELANOS NO RIO</t>
        </is>
      </c>
      <c r="I266" t="inlineStr">
        <is>
          <t>NO TOTAL, 260 VENEZUELANOS VIVEM NO LOCAL. APENAS UMA ONG ABRIGA 70 DELES. MUITOS JÁ CONSEGUIRAM EMPREGO – OUTROS, AINDA TENTAM ENTRAR NO MERCADO DE TRABALHO.</t>
        </is>
      </c>
      <c r="J266">
        <f>HYPERLINK("https://g1.globo.com/rj/rio-de-janeiro/noticia/2022/02/10/morro-do-bancono-itanhanga-e-o-local-com-maior-concentracao-de-venezuelanos-no-rio.ghtml", "URL")</f>
        <v/>
      </c>
      <c r="K266">
        <f>HYPERLINK("https://raw.githubusercontent.com/marcosmapl/dataset_imigrantes/main/noticias_filtered/g1/venezuelanos/2022/01_fev/html/g1_7fa49288-2309-11ed-b24f-6dbe51e79fca_2447.html", "HTML")</f>
        <v/>
      </c>
      <c r="L266">
        <f>HYPERLINK("https://raw.githubusercontent.com/marcosmapl/dataset_imigrantes/main/noticias_filtered/g1/venezuelanos/2022/01_fev/txt/g1_7fa49288-2309-11ed-b24f-6dbe51e79fca_2447.txt", "TXT")</f>
        <v/>
      </c>
    </row>
    <row r="267">
      <c r="A267" s="1" t="n">
        <v>265</v>
      </c>
      <c r="B267" t="n">
        <v>2022</v>
      </c>
      <c r="C267" s="2" t="n">
        <v>44602.4491296412</v>
      </c>
      <c r="D267" t="inlineStr">
        <is>
          <t>G1</t>
        </is>
      </c>
      <c r="E267" t="inlineStr">
        <is>
          <t>VENEZUELANOS</t>
        </is>
      </c>
      <c r="F267" t="inlineStr">
        <is>
          <t>SÃO PAULO</t>
        </is>
      </c>
      <c r="G267" t="inlineStr">
        <is>
          <t>TV GLOBO E G1 SP — SÃO PAULO</t>
        </is>
      </c>
      <c r="H267" t="inlineStr">
        <is>
          <t>'JUSTIÇA PARA NOSSO FILHO', PEDEM PAIS DE VENEZUELANO ASSASSINADO EM SP POR DÍVIDA DE R$ 100</t>
        </is>
      </c>
      <c r="I267" t="inlineStr">
        <is>
          <t>'ERA UM FILHO EXEMPLAR, QUE SE DEDICAVA A TRABALHAR PARA MANTER SUA FAMÍLIA', AFIRMA A FAMÍLIA EM VÍDEO. SUSPEITO DO CRIME FOI PRESO. DONO DO TERRENO ONDE MARCELO CARABALLO MORAVA DISPAROU TIROS CONTRA O RAPAZ DURANTE UMA BRIGA POR CONTA DO PAGAMENTO DE ALUGUEL. CRIME OCORREU NA ÚLTIMA QUINTA, EM MAUÁ.</t>
        </is>
      </c>
      <c r="J267">
        <f>HYPERLINK("https://g1.globo.com/sp/sao-paulo/noticia/2022/02/10/justica-para-nosso-filho-pedem-pais-de-venezuelano-apos-jovem-ser-assassinado-em-sp-por-conta-de-divida-de-r-100.ghtml", "URL")</f>
        <v/>
      </c>
      <c r="K267">
        <f>HYPERLINK("https://raw.githubusercontent.com/marcosmapl/dataset_imigrantes/main/noticias_filtered/g1/venezuelanos/2022/01_fev/html/g1_3d665686-2322-11ed-b24f-6dbe51e79fca_3742.html", "HTML")</f>
        <v/>
      </c>
      <c r="L267">
        <f>HYPERLINK("https://raw.githubusercontent.com/marcosmapl/dataset_imigrantes/main/noticias_filtered/g1/venezuelanos/2022/01_fev/txt/g1_3d665686-2322-11ed-b24f-6dbe51e79fca_3742.txt", "TXT")</f>
        <v/>
      </c>
    </row>
    <row r="268">
      <c r="A268" s="1" t="n">
        <v>266</v>
      </c>
      <c r="B268" t="n">
        <v>2022</v>
      </c>
      <c r="C268" s="2" t="n">
        <v>44602.37612885416</v>
      </c>
      <c r="D268" t="inlineStr">
        <is>
          <t>G1</t>
        </is>
      </c>
      <c r="E268" t="inlineStr">
        <is>
          <t>HAITIANOS</t>
        </is>
      </c>
      <c r="F268" t="inlineStr">
        <is>
          <t>AMAPÁ</t>
        </is>
      </c>
      <c r="G268" t="inlineStr">
        <is>
          <t>G1 AP — MACAPÁ</t>
        </is>
      </c>
      <c r="H268" t="inlineStr">
        <is>
          <t>COM ALTA DE 1755%, PRF DETEVE 334 ESTRANGEIROS ILEGAIS NO AMAPÁ EM 2021</t>
        </is>
      </c>
      <c r="I268" t="inlineStr">
        <is>
          <t>MAIORIA ERA DE NACIONALIDADE HAITIANA E CUBANA. POLÍCIA DAS BRS ALIA DESEMPENHO A MAIOR POLICIAMENTO, COM MAIS AGENTES E EQUIPAMENTOS, E COLABORAÇÕES COM OUTRAS INSTITUIÇÕES.</t>
        </is>
      </c>
      <c r="J268">
        <f>HYPERLINK("https://g1.globo.com/ap/amapa/noticia/2022/02/10/com-alta-de-1755percent-prf-deteve-334-estrangeiros-ilegais-no-amapa-em-2021.ghtml", "URL")</f>
        <v/>
      </c>
      <c r="K268">
        <f>HYPERLINK("https://raw.githubusercontent.com/marcosmapl/dataset_imigrantes/main/noticias_filtered/g1/haitianos/2022/01_fev/html/g1_837a2bfc-2313-11ed-b24f-6dbe51e79fca_3013.html", "HTML")</f>
        <v/>
      </c>
      <c r="L268">
        <f>HYPERLINK("https://raw.githubusercontent.com/marcosmapl/dataset_imigrantes/main/noticias_filtered/g1/haitianos/2022/01_fev/txt/g1_837a2bfc-2313-11ed-b24f-6dbe51e79fca_3013.txt", "TXT")</f>
        <v/>
      </c>
    </row>
    <row r="269">
      <c r="A269" s="1" t="n">
        <v>267</v>
      </c>
      <c r="B269" t="n">
        <v>2022</v>
      </c>
      <c r="C269" s="2" t="n">
        <v>44601.72743390047</v>
      </c>
      <c r="D269" t="inlineStr">
        <is>
          <t>G1</t>
        </is>
      </c>
      <c r="E269" t="inlineStr">
        <is>
          <t>VENEZUELANOS</t>
        </is>
      </c>
      <c r="F269" t="inlineStr">
        <is>
          <t>SÃO PAULO</t>
        </is>
      </c>
      <c r="G269" t="inlineStr">
        <is>
          <t>G1 SP — SÃO PAULO</t>
        </is>
      </c>
      <c r="H269" t="inlineStr">
        <is>
          <t>JOVEM VENEZUELANO É ASSASSINADO EM SP APÓS BRIGA POR DÍVIDA DE R$ 100; 'BASTA DE XENOFOBIA', DIZEM MOVIMENTOS SOCIAIS</t>
        </is>
      </c>
      <c r="I269" t="inlineStr">
        <is>
          <t>O SUSPEITO DO CRIME FOI PRESO. DONO DO TERRENO ONDE MARCELO CARABALLO MORAVA DISPAROU TIROS CONTRA O RAPAZ DURANTE UMA BRIGA POR CONTA DO PAGAMENTO. FAMÍLIA FOI ACOLHIDA POR VIZINHOS E, SEM RENDA, ESTÁ VIVENDO DE DOAÇÕES. CASO É MAIS UM EXEMPLO DE XENOFOBIA, COMO O DO CONGOLÊS MOÏSE KABAGAMBE, DIZ MOVIMENTO.</t>
        </is>
      </c>
      <c r="J269">
        <f>HYPERLINK("https://g1.globo.com/sp/sao-paulo/noticia/2022/02/09/jovem-venezuelano-e-assassinado-em-sp-apos-briga-por-divida-de-r-100-basta-de-xenofobia-dizem-movimentos-sociais.ghtml", "URL")</f>
        <v/>
      </c>
      <c r="K269">
        <f>HYPERLINK("https://raw.githubusercontent.com/marcosmapl/dataset_imigrantes/main/noticias_filtered/g1/venezuelanos/2022/01_fev/html/g1_e78aa5de-2315-11ed-b24f-6dbe51e79fca_3114.html", "HTML")</f>
        <v/>
      </c>
      <c r="L269">
        <f>HYPERLINK("https://raw.githubusercontent.com/marcosmapl/dataset_imigrantes/main/noticias_filtered/g1/venezuelanos/2022/01_fev/txt/g1_e78aa5de-2315-11ed-b24f-6dbe51e79fca_3114.txt", "TXT")</f>
        <v/>
      </c>
    </row>
    <row r="270">
      <c r="A270" s="1" t="n">
        <v>268</v>
      </c>
      <c r="B270" t="n">
        <v>2022</v>
      </c>
      <c r="C270" s="2" t="n">
        <v>44599.64107430555</v>
      </c>
      <c r="D270" t="inlineStr">
        <is>
          <t>G1</t>
        </is>
      </c>
      <c r="E270" t="inlineStr">
        <is>
          <t>VENEZUELANOS</t>
        </is>
      </c>
      <c r="F270" t="inlineStr">
        <is>
          <t>RORAIMA</t>
        </is>
      </c>
      <c r="G270" t="inlineStr">
        <is>
          <t>G1 RR — BOA VISTA</t>
        </is>
      </c>
      <c r="H270" t="inlineStr">
        <is>
          <t>VÍDEO MOSTRA MOMENTO EM QUE CARRO ATINGE VENEZUELANO EM BICICLETA E ELE É ARREMESSADO</t>
        </is>
      </c>
      <c r="I270" t="inlineStr">
        <is>
          <t>VÍTIMA SE CHAMAVA ANÍBAL RAMON MARTINEZ MALAVE E TINHA 36 ANOS. ELE MORREU NA HORA.</t>
        </is>
      </c>
      <c r="J270">
        <f>HYPERLINK("https://g1.globo.com/rr/roraima/noticia/2022/02/07/video-mostra-momento-em-que-carro-atinge-venezuelano-em-bicicleta-e-ele-e-arremessado.ghtml", "URL")</f>
        <v/>
      </c>
      <c r="K270">
        <f>HYPERLINK("https://raw.githubusercontent.com/marcosmapl/dataset_imigrantes/main/noticias_filtered/g1/venezuelanos/2022/01_fev/html/g1_3cc19016-230d-11ed-b24f-6dbe51e79fca_2675.html", "HTML")</f>
        <v/>
      </c>
      <c r="L270">
        <f>HYPERLINK("https://raw.githubusercontent.com/marcosmapl/dataset_imigrantes/main/noticias_filtered/g1/venezuelanos/2022/01_fev/txt/g1_3cc19016-230d-11ed-b24f-6dbe51e79fca_2675.txt", "TXT")</f>
        <v/>
      </c>
    </row>
    <row r="271">
      <c r="A271" s="1" t="n">
        <v>269</v>
      </c>
      <c r="B271" t="n">
        <v>2022</v>
      </c>
      <c r="C271" s="2" t="n">
        <v>44598.68438673611</v>
      </c>
      <c r="D271" t="inlineStr">
        <is>
          <t>G1</t>
        </is>
      </c>
      <c r="E271" t="inlineStr">
        <is>
          <t>VENEZUELANOS</t>
        </is>
      </c>
      <c r="F271" t="inlineStr">
        <is>
          <t>RORAIMA</t>
        </is>
      </c>
      <c r="G271" t="inlineStr">
        <is>
          <t>G1 RR — BOA VISTA</t>
        </is>
      </c>
      <c r="H271" t="inlineStr">
        <is>
          <t>VENEZUELANO EM BICICLETA MORRE AO SER ATROPELADO POR CARRO EM BOA VISTA</t>
        </is>
      </c>
      <c r="I271" t="inlineStr">
        <is>
          <t>VÍTIMA SE CHAMAVA ANÍBAL RAMON MARTINEZ MALAVE E TINHA 36 ANOS.</t>
        </is>
      </c>
      <c r="J271">
        <f>HYPERLINK("https://g1.globo.com/rr/roraima/noticia/2022/02/06/venezuelano-em-bicicleta-morre-ao-ser-atropelado-por-carro-em-boa-vista.ghtml", "URL")</f>
        <v/>
      </c>
      <c r="K271">
        <f>HYPERLINK("https://raw.githubusercontent.com/marcosmapl/dataset_imigrantes/main/noticias_filtered/g1/venezuelanos/2022/01_fev/html/g1_80880bc6-230e-11ed-b24f-6dbe51e79fca_2742.html", "HTML")</f>
        <v/>
      </c>
      <c r="L271">
        <f>HYPERLINK("https://raw.githubusercontent.com/marcosmapl/dataset_imigrantes/main/noticias_filtered/g1/venezuelanos/2022/01_fev/txt/g1_80880bc6-230e-11ed-b24f-6dbe51e79fca_2742.txt", "TXT")</f>
        <v/>
      </c>
    </row>
    <row r="272">
      <c r="A272" s="1" t="n">
        <v>270</v>
      </c>
      <c r="B272" t="n">
        <v>2022</v>
      </c>
      <c r="C272" s="2" t="n">
        <v>44596.82560101852</v>
      </c>
      <c r="D272" t="inlineStr">
        <is>
          <t>G1</t>
        </is>
      </c>
      <c r="E272" t="inlineStr">
        <is>
          <t>VENEZUELANOS</t>
        </is>
      </c>
      <c r="F272" t="inlineStr">
        <is>
          <t>RORAIMA</t>
        </is>
      </c>
      <c r="G272" t="inlineStr">
        <is>
          <t>G1 RR — BOA VISTA</t>
        </is>
      </c>
      <c r="H272" t="inlineStr">
        <is>
          <t>PESQUISA QUER IDENTIFICAR RISCOS DE VIOLÊNCIA CONTRA REFUGIADAS E MIGRANTES VENEZUELANAS EM RR</t>
        </is>
      </c>
      <c r="I272" t="inlineStr">
        <is>
          <t>PESQUISA TAMBÉM VAI OCORRER NO EQUADOR E PERU. NO BRASIL, SERÁ REALIZADA EM BOA VISTA, PACARAIMA E MANAUS. ESTUDO É REALIZADO PELA ORGANIZAÇÃO INTERNACIONAL PARA AS MIGRAÇÕES (OIM) EM PARCERIA COM A UNIVERSIDADE DO QUEENS, DO CANADÁ.</t>
        </is>
      </c>
      <c r="J272">
        <f>HYPERLINK("https://g1.globo.com/rr/roraima/noticia/2022/02/04/pesquisa-quer-identificar-riscos-de-violencia-contra-refugiadas-e-migrantes-venezuelanas-em-rr.ghtml", "URL")</f>
        <v/>
      </c>
      <c r="K272">
        <f>HYPERLINK("https://raw.githubusercontent.com/marcosmapl/dataset_imigrantes/main/noticias_filtered/g1/venezuelanos/2022/01_fev/html/g1_60bcd6a8-2329-11ed-b24f-6dbe51e79fca_4113.html", "HTML")</f>
        <v/>
      </c>
      <c r="L272">
        <f>HYPERLINK("https://raw.githubusercontent.com/marcosmapl/dataset_imigrantes/main/noticias_filtered/g1/venezuelanos/2022/01_fev/txt/g1_60bcd6a8-2329-11ed-b24f-6dbe51e79fca_4113.txt", "TXT")</f>
        <v/>
      </c>
    </row>
    <row r="273">
      <c r="A273" s="1" t="n">
        <v>271</v>
      </c>
      <c r="B273" t="n">
        <v>2022</v>
      </c>
      <c r="C273" s="2" t="n">
        <v>44596.67662787037</v>
      </c>
      <c r="D273" t="inlineStr">
        <is>
          <t>G1</t>
        </is>
      </c>
      <c r="E273" t="inlineStr">
        <is>
          <t>VENEZUELANOS</t>
        </is>
      </c>
      <c r="F273" t="inlineStr">
        <is>
          <t>MUNDO</t>
        </is>
      </c>
      <c r="G273" t="inlineStr">
        <is>
          <t>BBC</t>
        </is>
      </c>
      <c r="H273" t="inlineStr">
        <is>
          <t>POR QUE OS EUA COMEÇARAM A DEPORTAR VENEZUELANOS PARA A COLÔMBIA</t>
        </is>
      </c>
      <c r="I273" t="inlineStr">
        <is>
          <t>AUTORIDADES AMERICANAS CONFIRMARAM A EXPULSÃO E DISSERAM QUE ESPERAM REALIZAR VOOS DESSE TIPO "DE MANEIRA REGULAR".</t>
        </is>
      </c>
      <c r="J273">
        <f>HYPERLINK("https://g1.globo.com/mundo/noticia/2022/02/04/por-que-os-eua-comecaram-a-deportar-venezuelanos-para-a-colombia.ghtml", "URL")</f>
        <v/>
      </c>
      <c r="K273">
        <f>HYPERLINK("https://raw.githubusercontent.com/marcosmapl/dataset_imigrantes/main/noticias_filtered/g1/venezuelanos/2022/01_fev/html/g1_249ffc9e-2325-11ed-b24f-6dbe51e79fca_3898.html", "HTML")</f>
        <v/>
      </c>
      <c r="L273">
        <f>HYPERLINK("https://raw.githubusercontent.com/marcosmapl/dataset_imigrantes/main/noticias_filtered/g1/venezuelanos/2022/01_fev/txt/g1_249ffc9e-2325-11ed-b24f-6dbe51e79fca_3898.txt", "TXT")</f>
        <v/>
      </c>
    </row>
    <row r="274">
      <c r="A274" s="1" t="n">
        <v>272</v>
      </c>
      <c r="B274" t="n">
        <v>2022</v>
      </c>
      <c r="C274" s="2" t="n">
        <v>44595.67114770833</v>
      </c>
      <c r="D274" t="inlineStr">
        <is>
          <t>G1</t>
        </is>
      </c>
      <c r="E274" t="inlineStr">
        <is>
          <t>HAITIANOS</t>
        </is>
      </c>
      <c r="F274" t="inlineStr">
        <is>
          <t>ACRE</t>
        </is>
      </c>
      <c r="G274" t="inlineStr">
        <is>
          <t>TÁCITA MUNIZ, G1 AC — RIO BRANCO</t>
        </is>
      </c>
      <c r="H274" t="inlineStr">
        <is>
          <t>HAITIANO OBRIGADO A SE JOGAR DE PONTE NO AC VOLTA A ANDAR COM AJUDA DE MULETAS E ESPERA RETORNO PRA CASA</t>
        </is>
      </c>
      <c r="I274" t="inlineStr">
        <is>
          <t>JACQUENUE BOSQUET AGORA ESTÁ NO ABRIGO DO ESTADO E GOVERNO JÁ COMEÇOU MOVIMENTAÇÃO PARA QUE ELE RETORNE PARA O HAITI. CASO DO IMIGRANTE SE TORNOU MARCO DA CRISE HUMANITÁRIA INSTALADA NO ACRE.</t>
        </is>
      </c>
      <c r="J274">
        <f>HYPERLINK("https://g1.globo.com/ac/acre/noticia/2022/02/03/haitiano-obrigado-a-se-jogar-de-ponte-no-ac-volta-a-andar-com-ajuda-de-muletas-e-espera-retorno-pra-casa.ghtml", "URL")</f>
        <v/>
      </c>
      <c r="K274">
        <f>HYPERLINK("https://raw.githubusercontent.com/marcosmapl/dataset_imigrantes/main/noticias_filtered/g1/haitianos/2022/01_fev/html/g1_54da7e18-22ec-11ed-b24f-6dbe51e79fca_1654.html", "HTML")</f>
        <v/>
      </c>
      <c r="L274">
        <f>HYPERLINK("https://raw.githubusercontent.com/marcosmapl/dataset_imigrantes/main/noticias_filtered/g1/haitianos/2022/01_fev/txt/g1_54da7e18-22ec-11ed-b24f-6dbe51e79fca_1654.txt", "TXT")</f>
        <v/>
      </c>
    </row>
    <row r="275">
      <c r="A275" s="1" t="n">
        <v>273</v>
      </c>
      <c r="B275" t="n">
        <v>2022</v>
      </c>
      <c r="C275" s="2" t="n">
        <v>44594.67071753473</v>
      </c>
      <c r="D275" t="inlineStr">
        <is>
          <t>G1</t>
        </is>
      </c>
      <c r="E275" t="inlineStr">
        <is>
          <t>VENEZUELANOS</t>
        </is>
      </c>
      <c r="F275" t="inlineStr">
        <is>
          <t>PARÁ</t>
        </is>
      </c>
      <c r="G275" t="inlineStr">
        <is>
          <t>G1 PARÁ — BELÉM</t>
        </is>
      </c>
      <c r="H275" t="inlineStr">
        <is>
          <t>POLÍCIA INVESTIGA MORTE DE VENEZUELANO EM MARABÁ</t>
        </is>
      </c>
      <c r="I275" t="inlineStr">
        <is>
          <t>RESIDÊNCIA DA VÍTIMA TERIA SIDO INVADIDA. O HOMEM MORREU NO LOCAL.</t>
        </is>
      </c>
      <c r="J275">
        <f>HYPERLINK("https://g1.globo.com/pa/para/noticia/2022/02/02/policia-investiga-morte-de-venezuelano-em-maraba.ghtml", "URL")</f>
        <v/>
      </c>
      <c r="K275">
        <f>HYPERLINK("https://raw.githubusercontent.com/marcosmapl/dataset_imigrantes/main/noticias_filtered/g1/venezuelanos/2022/01_fev/html/g1_0f30cec8-2308-11ed-b24f-6dbe51e79fca_2362.html", "HTML")</f>
        <v/>
      </c>
      <c r="L275">
        <f>HYPERLINK("https://raw.githubusercontent.com/marcosmapl/dataset_imigrantes/main/noticias_filtered/g1/venezuelanos/2022/01_fev/txt/g1_0f30cec8-2308-11ed-b24f-6dbe51e79fca_2362.txt", "TXT")</f>
        <v/>
      </c>
    </row>
    <row r="276">
      <c r="A276" s="1" t="n">
        <v>274</v>
      </c>
      <c r="B276" t="n">
        <v>2022</v>
      </c>
      <c r="C276" s="2" t="n">
        <v>44594.41720579861</v>
      </c>
      <c r="D276" t="inlineStr">
        <is>
          <t>G1</t>
        </is>
      </c>
      <c r="E276" t="inlineStr">
        <is>
          <t>VENEZUELANOS</t>
        </is>
      </c>
      <c r="F276" t="inlineStr">
        <is>
          <t>RORAIMA</t>
        </is>
      </c>
      <c r="G276" t="inlineStr">
        <is>
          <t>G1 RR — BOA VISTA</t>
        </is>
      </c>
      <c r="H276" t="inlineStr">
        <is>
          <t>VENEZUELANA APRENDE A FAZER PÃES E GARANTE RENDA APÓS FAZER CURSO: 'ESTOU ANIMADA, TENHO RECEBIDO MUITOS ELOGIOS'</t>
        </is>
      </c>
      <c r="I276" t="inlineStr">
        <is>
          <t>ADMINISTRADORA NA VENEZUELA, EUCARIS PETOT, DE 64 ANOS, APRENDEU A FAZER PRODUTOS DE PANIFICAÇÃO E AJUDA COM AS CONTAS DA CASA DO FILHO, ONDE MORA, EM BOA VISTA.</t>
        </is>
      </c>
      <c r="J276">
        <f>HYPERLINK("https://g1.globo.com/rr/roraima/noticia/2022/02/02/venezuelana-aprende-a-fazer-paes-e-garante-renda-apos-fazer-curso-estou-animada-tenho-recebido-muitos-elogios.ghtml", "URL")</f>
        <v/>
      </c>
      <c r="K276">
        <f>HYPERLINK("https://raw.githubusercontent.com/marcosmapl/dataset_imigrantes/main/noticias_filtered/g1/venezuelanos/2022/01_fev/html/g1_1d822cfa-230e-11ed-b24f-6dbe51e79fca_2722.html", "HTML")</f>
        <v/>
      </c>
      <c r="L276">
        <f>HYPERLINK("https://raw.githubusercontent.com/marcosmapl/dataset_imigrantes/main/noticias_filtered/g1/venezuelanos/2022/01_fev/txt/g1_1d822cfa-230e-11ed-b24f-6dbe51e79fca_2722.txt", "TXT")</f>
        <v/>
      </c>
    </row>
    <row r="277">
      <c r="A277" s="1" t="n">
        <v>275</v>
      </c>
      <c r="B277" t="n">
        <v>2022</v>
      </c>
      <c r="C277" s="2" t="n">
        <v>44593.78011201389</v>
      </c>
      <c r="D277" t="inlineStr">
        <is>
          <t>G1</t>
        </is>
      </c>
      <c r="E277" t="inlineStr">
        <is>
          <t>VENEZUELANOS</t>
        </is>
      </c>
      <c r="F277" t="inlineStr">
        <is>
          <t>RORAIMA</t>
        </is>
      </c>
      <c r="G277" t="inlineStr">
        <is>
          <t>G1 RR — BOA VISTA</t>
        </is>
      </c>
      <c r="H277" t="inlineStr">
        <is>
          <t>JUIZ FEDERAL AUTOR DE DECISÕES NO ESCÂNDALO DOS GAFANHOTOS, HELDER GIRÃO BARRETO SE APOSENTA</t>
        </is>
      </c>
      <c r="I277" t="inlineStr">
        <is>
          <t>JUIZ ATUOU NA PRIMEIRA INSTÂNCIA EM RORAIMA E É CONHECIDO NO ESTADO POR TER DADO DECISÕES NO ESCÂNDALO DOS GAFANHOTOS, MANDAR PRENDER O EX-GOVERNADOR NEUDO CAMPOS, FECHAR A ENTRADA DE VENEZUELANOS E POR TER SE ENVOLVIDO EM UM ACIDENTE DE TRÂNSITO COM UM MOTOBOY.</t>
        </is>
      </c>
      <c r="J277">
        <f>HYPERLINK("https://g1.globo.com/rr/roraima/noticia/2022/02/01/juiz-federal-autor-de-decisoes-no-escandalo-dos-gafanhotos-helder-girao-barreto-se-aposenta.ghtml", "URL")</f>
        <v/>
      </c>
      <c r="K277">
        <f>HYPERLINK("https://raw.githubusercontent.com/marcosmapl/dataset_imigrantes/main/noticias_filtered/g1/venezuelanos/2022/01_fev/html/g1_dec6e87c-231a-11ed-b24f-6dbe51e79fca_3358.html", "HTML")</f>
        <v/>
      </c>
      <c r="L277">
        <f>HYPERLINK("https://raw.githubusercontent.com/marcosmapl/dataset_imigrantes/main/noticias_filtered/g1/venezuelanos/2022/01_fev/txt/g1_dec6e87c-231a-11ed-b24f-6dbe51e79fca_3358.txt", "TXT")</f>
        <v/>
      </c>
    </row>
    <row r="278">
      <c r="A278" s="1" t="n">
        <v>276</v>
      </c>
      <c r="B278" t="n">
        <v>2022</v>
      </c>
      <c r="C278" s="2" t="n">
        <v>44587.41728042824</v>
      </c>
      <c r="D278" t="inlineStr">
        <is>
          <t>G1</t>
        </is>
      </c>
      <c r="E278" t="inlineStr">
        <is>
          <t>VENEZUELANOS</t>
        </is>
      </c>
      <c r="F278" t="inlineStr">
        <is>
          <t>RORAIMA</t>
        </is>
      </c>
      <c r="G278" t="inlineStr">
        <is>
          <t>G1 RR — BOA VISTA</t>
        </is>
      </c>
      <c r="H278" t="inlineStr">
        <is>
          <t>MÃE E FILHO VENEZUELANOS SE REENCONTRAM NO BRASIL APÓS 2 ANOS SEM SE VER</t>
        </is>
      </c>
      <c r="I278" t="inlineStr">
        <is>
          <t>ALÍCIA VICTORIA VARGAS LOPES CONSEGUIU TRAZER O FILHO PARA O BRASIL COM AJUDA DA FRATERNIDADE SEM FRONTEIRAS.</t>
        </is>
      </c>
      <c r="J278">
        <f>HYPERLINK("https://g1.globo.com/rr/roraima/noticia/2022/01/26/mae-e-filho-venezuelanos-se-reencontram-no-brasil-apos-2-anos-sem-se-ver.ghtml", "URL")</f>
        <v/>
      </c>
      <c r="K278">
        <f>HYPERLINK("https://raw.githubusercontent.com/marcosmapl/dataset_imigrantes/main/noticias_filtered/g1/venezuelanos/2022/00_jan/html/g1_d3ab681c-230d-11ed-b24f-6dbe51e79fca_2707.html", "HTML")</f>
        <v/>
      </c>
      <c r="L278">
        <f>HYPERLINK("https://raw.githubusercontent.com/marcosmapl/dataset_imigrantes/main/noticias_filtered/g1/venezuelanos/2022/00_jan/txt/g1_d3ab681c-230d-11ed-b24f-6dbe51e79fca_2707.txt", "TXT")</f>
        <v/>
      </c>
    </row>
    <row r="279">
      <c r="A279" s="1" t="n">
        <v>277</v>
      </c>
      <c r="B279" t="n">
        <v>2022</v>
      </c>
      <c r="C279" s="2" t="n">
        <v>44585.6271524537</v>
      </c>
      <c r="D279" t="inlineStr">
        <is>
          <t>G1</t>
        </is>
      </c>
      <c r="E279" t="inlineStr">
        <is>
          <t>VENEZUELANOS</t>
        </is>
      </c>
      <c r="F279" t="inlineStr">
        <is>
          <t>RORAIMA</t>
        </is>
      </c>
      <c r="G279" t="inlineStr">
        <is>
          <t>G1 RR — BOA VISTA</t>
        </is>
      </c>
      <c r="H279" t="inlineStr">
        <is>
          <t>CÁRITAS JÁ DISTRIBUIU MAIS DE 13 MIL KITS DE PROTEÇÃO À COVID PARA VENEZUELANOS EM SITUAÇÃO DE RUA EM RR</t>
        </is>
      </c>
      <c r="I279" t="inlineStr">
        <is>
          <t>NA SEGUNDA ETAPA, INICIADA EM OUTUBRO DE 2020, AO MENOS 17 MIL MIGRANTES E REFUGIADOS, VINDOS DA VENEZUELA E EM SITUAÇÃO DE RUA, FORAM ATENDIDOS POR MEIO DO PROJETO.</t>
        </is>
      </c>
      <c r="J279">
        <f>HYPERLINK("https://g1.globo.com/rr/roraima/noticia/2022/01/24/caritas-ja-distribuiu-mais-de-13-mil-kits-de-protecao-a-covid-para-venezuelanos-em-situacao-de-rua-em-rr.ghtml", "URL")</f>
        <v/>
      </c>
      <c r="K279">
        <f>HYPERLINK("https://raw.githubusercontent.com/marcosmapl/dataset_imigrantes/main/noticias_filtered/g1/venezuelanos/2022/00_jan/html/g1_92de7362-2310-11ed-b24f-6dbe51e79fca_2864.html", "HTML")</f>
        <v/>
      </c>
      <c r="L279">
        <f>HYPERLINK("https://raw.githubusercontent.com/marcosmapl/dataset_imigrantes/main/noticias_filtered/g1/venezuelanos/2022/00_jan/txt/g1_92de7362-2310-11ed-b24f-6dbe51e79fca_2864.txt", "TXT")</f>
        <v/>
      </c>
    </row>
    <row r="280">
      <c r="A280" s="1" t="n">
        <v>278</v>
      </c>
      <c r="B280" t="n">
        <v>2022</v>
      </c>
      <c r="C280" s="2" t="n">
        <v>44585.48402777778</v>
      </c>
      <c r="D280" t="inlineStr">
        <is>
          <t>PORTAL AMAZONIA</t>
        </is>
      </c>
      <c r="E280" t="inlineStr">
        <is>
          <t>VENEZUELANOS</t>
        </is>
      </c>
      <c r="F280" t="inlineStr">
        <is>
          <t>HISTÓRIAS DA AMAZÔNIA</t>
        </is>
      </c>
      <c r="G280" t="inlineStr">
        <is>
          <t>ABRAHIM BAZE</t>
        </is>
      </c>
      <c r="H280" t="inlineStr">
        <is>
          <t>SUCURSAL DE BRASÍLIA – O AVANÇO NO ESPAÇO TERRITORIAL</t>
        </is>
      </c>
      <c r="I280" t="inlineStr">
        <is>
          <t>GRUPO REDE AMAZÔNICA A CAMINHO DOS 50 ANOS.</t>
        </is>
      </c>
      <c r="J280">
        <f>HYPERLINK("https://portalamazonia.com/historias-da-amazonia/sucursal-de-brasilia-o-avanco-no-espaco-territorial", "URL")</f>
        <v/>
      </c>
      <c r="K280">
        <f>HYPERLINK("https://raw.githubusercontent.com/marcosmapl/dataset_imigrantes/main/noticias_filtered/portal_amazonia/venezuelanos/2022/00_jan/html/34862.84491_1425.html", "HTML")</f>
        <v/>
      </c>
      <c r="L280">
        <f>HYPERLINK("https://raw.githubusercontent.com/marcosmapl/dataset_imigrantes/main/noticias_filtered/portal_amazonia/venezuelanos/2022/00_jan/txt/34862.84491_1425.txt", "TXT")</f>
        <v/>
      </c>
    </row>
    <row r="281">
      <c r="A281" s="1" t="n">
        <v>279</v>
      </c>
      <c r="B281" t="n">
        <v>2022</v>
      </c>
      <c r="C281" s="2" t="n">
        <v>44584.70664111111</v>
      </c>
      <c r="D281" t="inlineStr">
        <is>
          <t>G1</t>
        </is>
      </c>
      <c r="E281" t="inlineStr">
        <is>
          <t>VENEZUELANOS</t>
        </is>
      </c>
      <c r="F281" t="inlineStr">
        <is>
          <t>RORAIMA</t>
        </is>
      </c>
      <c r="G281" t="inlineStr">
        <is>
          <t>G1 RR — BOA VISTA</t>
        </is>
      </c>
      <c r="H281" t="inlineStr">
        <is>
          <t>VENEZUELANO É ASSASSINADO POR AMIGO EM BRIGA POR CIÚMES NA ZONA OESTE DE BOA VISTA</t>
        </is>
      </c>
      <c r="I281" t="inlineStr">
        <is>
          <t>FELIPE RAFAEL COLMINARES TINHA 32 ANOS E FOI ASSASSINADO A FACADAS.</t>
        </is>
      </c>
      <c r="J281">
        <f>HYPERLINK("https://g1.globo.com/rr/roraima/noticia/2022/01/23/venezuelano-e-assassinado-por-amigo-em-briga-por-ciumes-na-zona-oeste-de-boa-vista.ghtml", "URL")</f>
        <v/>
      </c>
      <c r="K281">
        <f>HYPERLINK("https://raw.githubusercontent.com/marcosmapl/dataset_imigrantes/main/noticias_filtered/g1/venezuelanos/2022/00_jan/html/g1_eedaa758-2306-11ed-b24f-6dbe51e79fca_2286.html", "HTML")</f>
        <v/>
      </c>
      <c r="L281">
        <f>HYPERLINK("https://raw.githubusercontent.com/marcosmapl/dataset_imigrantes/main/noticias_filtered/g1/venezuelanos/2022/00_jan/txt/g1_eedaa758-2306-11ed-b24f-6dbe51e79fca_2286.txt", "TXT")</f>
        <v/>
      </c>
    </row>
    <row r="282">
      <c r="A282" s="1" t="n">
        <v>280</v>
      </c>
      <c r="B282" t="n">
        <v>2022</v>
      </c>
      <c r="C282" s="2" t="n">
        <v>44584.3337619213</v>
      </c>
      <c r="D282" t="inlineStr">
        <is>
          <t>G1</t>
        </is>
      </c>
      <c r="E282" t="inlineStr">
        <is>
          <t>VENEZUELANOS</t>
        </is>
      </c>
      <c r="F282" t="inlineStr">
        <is>
          <t>RORAIMA</t>
        </is>
      </c>
      <c r="G282" t="inlineStr">
        <is>
          <t>LUCAS VIDIGAL E FÁBIO TITO, G1</t>
        </is>
      </c>
      <c r="H282" t="inlineStr">
        <is>
          <t>'O CAMINHO DE UM PAÍS PARA OUTRO MUDA AS PESSOAS': VEJA SONHOS E PREOCUPAÇÕES DE VENEZUELANAS EM SITUAÇÃO VULNERÁVEL QUE CHEGAM AO BRASIL</t>
        </is>
      </c>
      <c r="I282" t="inlineStr">
        <is>
          <t>INICIATIVAS NOS ABRIGOS DA OPERAÇÃO ACOLHIDA EM RORAIMA AJUDAM PESSOAS QUE CHEGAM EM SITUAÇÃO AINDA MAIS VULNERÁVEL AO PAÍS DEPOIS DE FUGIREM DE PERSEGUIÇÃO E DE VIOLAÇÕES DOS DIREITOS HUMANOS.</t>
        </is>
      </c>
      <c r="J282">
        <f>HYPERLINK("https://g1.globo.com/rr/roraima/noticia/2022/01/23/o-caminho-de-um-pais-para-outro-muda-as-pessoas-veja-sonhos-e-preocupacoes-de-venezuelanas-em-situacao-vulneravel-que-chegam-ao-brasil.ghtml", "URL")</f>
        <v/>
      </c>
      <c r="K282">
        <f>HYPERLINK("https://raw.githubusercontent.com/marcosmapl/dataset_imigrantes/main/noticias_filtered/g1/venezuelanos/2022/00_jan/html/g1_8584e09c-232a-11ed-b24f-6dbe51e79fca_4184.html", "HTML")</f>
        <v/>
      </c>
      <c r="L282">
        <f>HYPERLINK("https://raw.githubusercontent.com/marcosmapl/dataset_imigrantes/main/noticias_filtered/g1/venezuelanos/2022/00_jan/txt/g1_8584e09c-232a-11ed-b24f-6dbe51e79fca_4184.txt", "TXT")</f>
        <v/>
      </c>
    </row>
    <row r="283">
      <c r="A283" s="1" t="n">
        <v>281</v>
      </c>
      <c r="B283" t="n">
        <v>2022</v>
      </c>
      <c r="C283" s="2" t="n">
        <v>44583.33383274305</v>
      </c>
      <c r="D283" t="inlineStr">
        <is>
          <t>G1</t>
        </is>
      </c>
      <c r="E283" t="inlineStr">
        <is>
          <t>VENEZUELANOS</t>
        </is>
      </c>
      <c r="F283" t="inlineStr">
        <is>
          <t>RORAIMA</t>
        </is>
      </c>
      <c r="G283" t="inlineStr">
        <is>
          <t>LUCAS VIDIGAL E FÁBIO TITO, G1</t>
        </is>
      </c>
      <c r="H283" t="inlineStr">
        <is>
          <t>COMO OS ABRIGOS PARA REFUGIADOS DA VENEZUELA EM RORAIMA LUTAM CONTRA A COVID-19</t>
        </is>
      </c>
      <c r="I283" t="inlineStr">
        <is>
          <t>CONTROLAR O CORONAVÍRUS EM UM LOCAL CHEIO DE MIGRANTES FOI UMA TAREFA MUITO DIFÍCIL NOS PIORES MOMENTOS DA PANDEMIA. APÓS O LUTO COM AS MORTES E AS PREOCUPAÇÕES COM AS FAMÍLIAS QUE FICARAM NO PAÍS DE ORIGEM, A MAIORIA DOS VENEZUELANOS ADERIU À VACINAÇÃO NO BRASIL E ESPERA SUPERAR A PANDEMIA.</t>
        </is>
      </c>
      <c r="J283">
        <f>HYPERLINK("https://g1.globo.com/rr/roraima/noticia/2022/01/22/como-os-abrigos-para-refugiados-da-venezuela-em-roraima-lutam-contra-a-covid-19.ghtml", "URL")</f>
        <v/>
      </c>
      <c r="K283">
        <f>HYPERLINK("https://raw.githubusercontent.com/marcosmapl/dataset_imigrantes/main/noticias_filtered/g1/venezuelanos/2022/00_jan/html/g1_6f05fb76-230c-11ed-b24f-6dbe51e79fca_2624.html", "HTML")</f>
        <v/>
      </c>
      <c r="L283">
        <f>HYPERLINK("https://raw.githubusercontent.com/marcosmapl/dataset_imigrantes/main/noticias_filtered/g1/venezuelanos/2022/00_jan/txt/g1_6f05fb76-230c-11ed-b24f-6dbe51e79fca_2624.txt", "TXT")</f>
        <v/>
      </c>
    </row>
    <row r="284">
      <c r="A284" s="1" t="n">
        <v>282</v>
      </c>
      <c r="B284" t="n">
        <v>2022</v>
      </c>
      <c r="C284" s="2" t="n">
        <v>44579.88292528935</v>
      </c>
      <c r="D284" t="inlineStr">
        <is>
          <t>G1</t>
        </is>
      </c>
      <c r="E284" t="inlineStr">
        <is>
          <t>VENEZUELANOS</t>
        </is>
      </c>
      <c r="F284" t="inlineStr">
        <is>
          <t>ALAGOAS</t>
        </is>
      </c>
      <c r="G284" t="inlineStr">
        <is>
          <t>G1 AL</t>
        </is>
      </c>
      <c r="H284" t="inlineStr">
        <is>
          <t>DPU-AL DÁ PRAZO PARA QUE PREFEITURA DE ARAPIRACA APRESENTE PLANO DE ASSISTÊNCIA PARA INDÍGENAS VENEZUELANOS</t>
        </is>
      </c>
      <c r="I284" t="inlineStr">
        <is>
          <t>EM DEZEMBRO, MPF RECEBEU DENÚNCIAS SOBRE SITUAÇÃO PRECÁRIA EM QUE VIVEM OS MIGRANTES. AO TODO, 47 INDÍGENAS, ENTRE ELES CRIANÇAS E IDOSOS, ESTÃO NA CIDADE DESDE NOVEMBRO.</t>
        </is>
      </c>
      <c r="J284">
        <f>HYPERLINK("https://g1.globo.com/al/alagoas/noticia/2022/01/18/dpu-al-da-prazo-para-que-prefeitura-de-arapiraca-apresente-plano-de-assistencia-para-indigenas-venezuelanos.ghtml", "URL")</f>
        <v/>
      </c>
      <c r="K284">
        <f>HYPERLINK("https://raw.githubusercontent.com/marcosmapl/dataset_imigrantes/main/noticias_filtered/g1/venezuelanos/2022/00_jan/html/g1_00e12b5e-2319-11ed-b24f-6dbe51e79fca_3293.html", "HTML")</f>
        <v/>
      </c>
      <c r="L284">
        <f>HYPERLINK("https://raw.githubusercontent.com/marcosmapl/dataset_imigrantes/main/noticias_filtered/g1/venezuelanos/2022/00_jan/txt/g1_00e12b5e-2319-11ed-b24f-6dbe51e79fca_3293.txt", "TXT")</f>
        <v/>
      </c>
    </row>
    <row r="285">
      <c r="A285" s="1" t="n">
        <v>283</v>
      </c>
      <c r="B285" t="n">
        <v>2022</v>
      </c>
      <c r="C285" s="2" t="n">
        <v>44579.5597337963</v>
      </c>
      <c r="D285" t="inlineStr">
        <is>
          <t>A CRITICA</t>
        </is>
      </c>
      <c r="E285" t="inlineStr">
        <is>
          <t>VENEZUELANOS</t>
        </is>
      </c>
      <c r="F285" t="inlineStr">
        <is>
          <t>POLICIA</t>
        </is>
      </c>
      <c r="G285" t="inlineStr">
        <is>
          <t>NATASHA PINTO</t>
        </is>
      </c>
      <c r="H285" t="inlineStr">
        <is>
          <t>JOVEM É ENCONTRADO MORTO POR MORADORES DA ZONA LESTE</t>
        </is>
      </c>
      <c r="I285" t="inlineStr">
        <is>
          <t>ELE ESTAVA COM VÁRIOS FERIMENTOS DE ARMA DE FOGO PELO CORPO</t>
        </is>
      </c>
      <c r="J285">
        <f>HYPERLINK("https://www.acritica.com/policia/jovem-e-encontrado-morto-por-moradores-da-zona-leste-1.2213", "URL")</f>
        <v/>
      </c>
      <c r="K285">
        <f>HYPERLINK("https://raw.githubusercontent.com/marcosmapl/dataset_imigrantes/main/noticias_filtered/a_critica/venezuelanos/2022/00_jan/html/1.2213_446.html", "HTML")</f>
        <v/>
      </c>
      <c r="L285">
        <f>HYPERLINK("https://raw.githubusercontent.com/marcosmapl/dataset_imigrantes/main/noticias_filtered/a_critica/venezuelanos/2022/00_jan/txt/1.2213_446.txt", "TXT")</f>
        <v/>
      </c>
    </row>
    <row r="286">
      <c r="A286" s="1" t="n">
        <v>284</v>
      </c>
      <c r="B286" t="n">
        <v>2022</v>
      </c>
      <c r="C286" s="2" t="n">
        <v>44575.91212753472</v>
      </c>
      <c r="D286" t="inlineStr">
        <is>
          <t>G1</t>
        </is>
      </c>
      <c r="E286" t="inlineStr">
        <is>
          <t>VENEZUELANOS</t>
        </is>
      </c>
      <c r="F286" t="inlineStr">
        <is>
          <t>RORAIMA</t>
        </is>
      </c>
      <c r="G286" t="inlineStr">
        <is>
          <t>G1 RR — BOA VISTA</t>
        </is>
      </c>
      <c r="H286" t="inlineStr">
        <is>
          <t>POLÍCIA PROCURA JOVEM VENEZUELANO QUE DESAPARECEU APÓS SAIR DE ABRIGO PARA COMER EM BOA VISTA</t>
        </is>
      </c>
      <c r="I286" t="inlineStr">
        <is>
          <t>CARLOS ALBERTO MATUTE MARTINEZ, DE 21 ANOS, DESAPARECEU NO DIA 7 DE JANEIRO, NO BAIRRO TREZE DE SETEMBRO.</t>
        </is>
      </c>
      <c r="J286">
        <f>HYPERLINK("https://g1.globo.com/rr/roraima/noticia/2022/01/14/policia-procura-jovem-venezuelano-que-desapareceu-apos-sair-de-abrigo-para-comer-em-boa-vista.ghtml", "URL")</f>
        <v/>
      </c>
      <c r="K286">
        <f>HYPERLINK("https://raw.githubusercontent.com/marcosmapl/dataset_imigrantes/main/noticias_filtered/g1/venezuelanos/2022/00_jan/html/g1_dba561bc-2317-11ed-b24f-6dbe51e79fca_3230.html", "HTML")</f>
        <v/>
      </c>
      <c r="L286">
        <f>HYPERLINK("https://raw.githubusercontent.com/marcosmapl/dataset_imigrantes/main/noticias_filtered/g1/venezuelanos/2022/00_jan/txt/g1_dba561bc-2317-11ed-b24f-6dbe51e79fca_3230.txt", "TXT")</f>
        <v/>
      </c>
    </row>
    <row r="287">
      <c r="A287" s="1" t="n">
        <v>285</v>
      </c>
      <c r="B287" t="n">
        <v>2022</v>
      </c>
      <c r="C287" s="2" t="n">
        <v>44575.90086724537</v>
      </c>
      <c r="D287" t="inlineStr">
        <is>
          <t>G1</t>
        </is>
      </c>
      <c r="E287" t="inlineStr">
        <is>
          <t>HAITIANOS</t>
        </is>
      </c>
      <c r="F287" t="inlineStr">
        <is>
          <t>RIO GRANDE DO SUL</t>
        </is>
      </c>
      <c r="G287" t="inlineStr">
        <is>
          <t>GUSTAVO FOSTER, G1 RS</t>
        </is>
      </c>
      <c r="H287" t="inlineStr">
        <is>
          <t>COM AJUDA DE ENFERMEIRA, IMIGRANTE HAITIANA DÁ À LUZ EM AMBULÂNCIA DO SAMU EM MARAU</t>
        </is>
      </c>
      <c r="I287" t="inlineStr">
        <is>
          <t>COMO NÃO FALA PORTUGUÊS, YROUANCISE PRECISOU DA COLABORAÇÃO DE SEU MARIDO E PAI DA CRIANÇA PARA SOLICITAR AJUDA DO SERVIÇO MÉDICO.</t>
        </is>
      </c>
      <c r="J287">
        <f>HYPERLINK("https://g1.globo.com/rs/rio-grande-do-sul/noticia/2022/01/14/com-ajuda-de-enfermeira-imigrante-haitiana-da-a-luz-em-ambulancia-do-samu-em-marau.ghtml", "URL")</f>
        <v/>
      </c>
      <c r="K287">
        <f>HYPERLINK("https://raw.githubusercontent.com/marcosmapl/dataset_imigrantes/main/noticias_filtered/g1/haitianos/2022/00_jan/html/g1_7167392c-22ec-11ed-b24f-6dbe51e79fca_1657.html", "HTML")</f>
        <v/>
      </c>
      <c r="L287">
        <f>HYPERLINK("https://raw.githubusercontent.com/marcosmapl/dataset_imigrantes/main/noticias_filtered/g1/haitianos/2022/00_jan/txt/g1_7167392c-22ec-11ed-b24f-6dbe51e79fca_1657.txt", "TXT")</f>
        <v/>
      </c>
    </row>
    <row r="288">
      <c r="A288" s="1" t="n">
        <v>286</v>
      </c>
      <c r="B288" t="n">
        <v>2022</v>
      </c>
      <c r="C288" s="2" t="n">
        <v>44574.67269456018</v>
      </c>
      <c r="D288" t="inlineStr">
        <is>
          <t>G1</t>
        </is>
      </c>
      <c r="E288" t="inlineStr">
        <is>
          <t>HAITIANOS</t>
        </is>
      </c>
      <c r="F288" t="inlineStr">
        <is>
          <t>SÃO PAULO</t>
        </is>
      </c>
      <c r="G288" t="inlineStr">
        <is>
          <t>G1 SP — SÃO PAULO</t>
        </is>
      </c>
      <c r="H288" t="inlineStr">
        <is>
          <t>UNIFESP OFERECE 50 VAGAS DE GRADUAÇÃO PARA REFUGIADOS E PESSOAS COM VISTO HUMANITÁRIO</t>
        </is>
      </c>
      <c r="I288" t="inlineStr">
        <is>
          <t>UNIVERSIDADE DISPONIBILIZA UMA VAGA NO CURSO DE MEDICINA. INSCRIÇÕES DEVEM SER FEITAS ATÉ 28 DE JANEIRO. OS APÁTRIDAS, PESSOAS QUE NÃO POSSUEM NACIONALIDADE RECONHECIDA POR NENHUM PAÍS, TAMBÉM PODEM CONCORRER.</t>
        </is>
      </c>
      <c r="J288">
        <f>HYPERLINK("https://g1.globo.com/sp/sao-paulo/noticia/2022/01/13/unifesp-oferece-50-vagas-de-graduacao-para-refugiados-e-pessoas-com-visto-humanitario.ghtml", "URL")</f>
        <v/>
      </c>
      <c r="K288">
        <f>HYPERLINK("https://raw.githubusercontent.com/marcosmapl/dataset_imigrantes/main/noticias_filtered/g1/haitianos/2022/00_jan/html/g1_c1aebcec-231f-11ed-b24f-6dbe51e79fca_3642.html", "HTML")</f>
        <v/>
      </c>
      <c r="L288">
        <f>HYPERLINK("https://raw.githubusercontent.com/marcosmapl/dataset_imigrantes/main/noticias_filtered/g1/haitianos/2022/00_jan/txt/g1_c1aebcec-231f-11ed-b24f-6dbe51e79fca_3642.txt", "TXT")</f>
        <v/>
      </c>
    </row>
    <row r="289">
      <c r="A289" s="1" t="n">
        <v>287</v>
      </c>
      <c r="B289" t="n">
        <v>2022</v>
      </c>
      <c r="C289" s="2" t="n">
        <v>44573.97199672454</v>
      </c>
      <c r="D289" t="inlineStr">
        <is>
          <t>G1</t>
        </is>
      </c>
      <c r="E289" t="inlineStr">
        <is>
          <t>VENEZUELANOS</t>
        </is>
      </c>
      <c r="F289" t="inlineStr">
        <is>
          <t>ECONOMIA</t>
        </is>
      </c>
      <c r="G289" t="inlineStr">
        <is>
          <t>BBC</t>
        </is>
      </c>
      <c r="H289" t="inlineStr">
        <is>
          <t>'SOU POLICIAL, MAS CONSERTO MICROONDAS PARA SOBREVIVER': OS 'BICOS' FEITOS POR VENEZUELANOS EM MEIO À CRISE</t>
        </is>
      </c>
      <c r="I289" t="inlineStr">
        <is>
          <t>BBC NEWS MUNDO ENTREVISTOU UM POLICIAL QUE CONSERTA MICROONDAS, UM ENGENHEIRO QUE PRESTA SERVIÇOS DE ENCANADOR, UMA PROFESSORA QUE PRODUZ GELEIAS E MOLHOS DE MACARRÃO E OUTRO EDUCADOR QUE TRABALHA EM UMA PIZZARIA. A MAIORIA TEM COMO OBJETIVO CONSEGUIR UM DÓLAR A MAIS, 12 HORAS POR DIA.</t>
        </is>
      </c>
      <c r="J289">
        <f>HYPERLINK("https://g1.globo.com/economia/noticia/2022/01/12/sou-policial-mas-conserto-microondas-para-sobreviver-os-bicos-feitos-por-venezuelanos-em-meio-a-crise.ghtml", "URL")</f>
        <v/>
      </c>
      <c r="K289">
        <f>HYPERLINK("https://raw.githubusercontent.com/marcosmapl/dataset_imigrantes/main/noticias_filtered/g1/venezuelanos/2022/00_jan/html/g1_940a2920-2306-11ed-b24f-6dbe51e79fca_2267.html", "HTML")</f>
        <v/>
      </c>
      <c r="L289">
        <f>HYPERLINK("https://raw.githubusercontent.com/marcosmapl/dataset_imigrantes/main/noticias_filtered/g1/venezuelanos/2022/00_jan/txt/g1_940a2920-2306-11ed-b24f-6dbe51e79fca_2267.txt", "TXT")</f>
        <v/>
      </c>
    </row>
    <row r="290">
      <c r="A290" s="1" t="n">
        <v>288</v>
      </c>
      <c r="B290" t="n">
        <v>2022</v>
      </c>
      <c r="C290" s="2" t="n">
        <v>44569.64221064815</v>
      </c>
      <c r="D290" t="inlineStr">
        <is>
          <t>A CRITICA</t>
        </is>
      </c>
      <c r="E290" t="inlineStr">
        <is>
          <t>VENEZUELANOS</t>
        </is>
      </c>
      <c r="F290" t="inlineStr">
        <is>
          <t>MANAUS</t>
        </is>
      </c>
      <c r="G290" t="inlineStr">
        <is>
          <t>PORTAL A CRÍTICA</t>
        </is>
      </c>
      <c r="H290" t="inlineStr">
        <is>
          <t>HOMEM É PRESO POR MATAR VENEZUELANO EM BAR NO ANO PASSADO</t>
        </is>
      </c>
      <c r="I290" t="inlineStr">
        <is>
          <t>SEGUNDO A POLÍCIA, O CRIME ACONTECEU APÓS A VÍTIMA DESCONFIAR QUE PAULO ROBERTO TERIA FURTADO SEU APARELHO CELULAR</t>
        </is>
      </c>
      <c r="J290">
        <f>HYPERLINK("https://www.acritica.com/manaus/homem-e-preso-por-matar-venezuelano-em-bar-no-ano-passado-1.1985", "URL")</f>
        <v/>
      </c>
      <c r="K290">
        <f>HYPERLINK("https://raw.githubusercontent.com/marcosmapl/dataset_imigrantes/main/noticias_filtered/a_critica/venezuelanos/2022/00_jan/html/1.1985_701.html", "HTML")</f>
        <v/>
      </c>
      <c r="L290">
        <f>HYPERLINK("https://raw.githubusercontent.com/marcosmapl/dataset_imigrantes/main/noticias_filtered/a_critica/venezuelanos/2022/00_jan/txt/1.1985_701.txt", "TXT")</f>
        <v/>
      </c>
    </row>
    <row r="291">
      <c r="A291" s="1" t="n">
        <v>289</v>
      </c>
      <c r="B291" t="n">
        <v>2022</v>
      </c>
      <c r="C291" s="2" t="n">
        <v>44568.88704769676</v>
      </c>
      <c r="D291" t="inlineStr">
        <is>
          <t>G1</t>
        </is>
      </c>
      <c r="E291" t="inlineStr">
        <is>
          <t>VENEZUELANOS</t>
        </is>
      </c>
      <c r="F291" t="inlineStr">
        <is>
          <t>RORAIMA</t>
        </is>
      </c>
      <c r="G291" t="inlineStr">
        <is>
          <t>G1 RR — BOA VISTA</t>
        </is>
      </c>
      <c r="H291" t="inlineStr">
        <is>
          <t>PROJETO ORIENTA MIGRANTES E REFUGIADOS EM RORAIMA SOBRE CASOS DE VIOLAÇÕES TRABALHISTAS</t>
        </is>
      </c>
      <c r="I291" t="inlineStr">
        <is>
          <t>AÇÃO É ORGANIZADA PELA ONG VISÃO MUNDIAL. EIXO DE PROTEÇÃO SERÁ INSERIDO DENTRO DO PROJETO "VEN, TÚ PUEDES!", QUE ATUA NA RESPOSTA À CRISE MIGRATÓRIA VENEZUELANA.</t>
        </is>
      </c>
      <c r="J291">
        <f>HYPERLINK("https://g1.globo.com/rr/roraima/noticia/2022/01/07/projeto-orienta-migrantes-e-refugiados-em-roraima-sobre-casos-de-violacoes-trabalhistas.ghtml", "URL")</f>
        <v/>
      </c>
      <c r="K291">
        <f>HYPERLINK("https://raw.githubusercontent.com/marcosmapl/dataset_imigrantes/main/noticias_filtered/g1/venezuelanos/2022/00_jan/html/g1_29a55b4a-230b-11ed-b24f-6dbe51e79fca_2548.html", "HTML")</f>
        <v/>
      </c>
      <c r="L291">
        <f>HYPERLINK("https://raw.githubusercontent.com/marcosmapl/dataset_imigrantes/main/noticias_filtered/g1/venezuelanos/2022/00_jan/txt/g1_29a55b4a-230b-11ed-b24f-6dbe51e79fca_2548.txt", "TXT")</f>
        <v/>
      </c>
    </row>
    <row r="292">
      <c r="A292" s="1" t="n">
        <v>290</v>
      </c>
      <c r="B292" t="n">
        <v>2022</v>
      </c>
      <c r="C292" s="2" t="n">
        <v>44567.54901472222</v>
      </c>
      <c r="D292" t="inlineStr">
        <is>
          <t>G1</t>
        </is>
      </c>
      <c r="E292" t="inlineStr">
        <is>
          <t>VENEZUELANOS</t>
        </is>
      </c>
      <c r="F292" t="inlineStr">
        <is>
          <t>MATO GROSSO</t>
        </is>
      </c>
      <c r="G292" t="inlineStr">
        <is>
          <t>G1 MT</t>
        </is>
      </c>
      <c r="H292" t="inlineStr">
        <is>
          <t>MULHER VENEZUELANA É ASSASSINADA PELO MARIDO QUE NÃO ACEITAVA O FIM DO RELACIONAMENTO EM MT, DIZ POLÍCIA</t>
        </is>
      </c>
      <c r="I292" t="inlineStr">
        <is>
          <t>ISBELL JOSÉ VEGAS, DE 25 ANOS, ESTAVA DESAPARECIDA HÁ 10 DIAS E FOI ENCONTRADA NESSA QUARTA-FEIRA (5), NOS FUNDOS DO BARRACÃO ONDE O SUSPEITO TRABALHA.</t>
        </is>
      </c>
      <c r="J292">
        <f>HYPERLINK("https://g1.globo.com/mt/mato-grosso/noticia/2022/01/06/mulher-venezuelana-e-assassinada-pelo-marido-que-nao-aceitava-o-fim-do-relacionamento-em-mt-diz-policia.ghtml", "URL")</f>
        <v/>
      </c>
      <c r="K292">
        <f>HYPERLINK("https://raw.githubusercontent.com/marcosmapl/dataset_imigrantes/main/noticias_filtered/g1/venezuelanos/2022/00_jan/html/g1_0841cb3a-2308-11ed-b24f-6dbe51e79fca_2360.html", "HTML")</f>
        <v/>
      </c>
      <c r="L292">
        <f>HYPERLINK("https://raw.githubusercontent.com/marcosmapl/dataset_imigrantes/main/noticias_filtered/g1/venezuelanos/2022/00_jan/txt/g1_0841cb3a-2308-11ed-b24f-6dbe51e79fca_2360.txt", "TXT")</f>
        <v/>
      </c>
    </row>
    <row r="293">
      <c r="A293" s="1" t="n">
        <v>291</v>
      </c>
      <c r="B293" t="n">
        <v>2022</v>
      </c>
      <c r="C293" s="2" t="n">
        <v>44564.93583528935</v>
      </c>
      <c r="D293" t="inlineStr">
        <is>
          <t>G1</t>
        </is>
      </c>
      <c r="E293" t="inlineStr">
        <is>
          <t>VENEZUELANOS</t>
        </is>
      </c>
      <c r="F293" t="inlineStr">
        <is>
          <t>RORAIMA</t>
        </is>
      </c>
      <c r="G293" t="inlineStr">
        <is>
          <t>G1 RR — BOA VISTA</t>
        </is>
      </c>
      <c r="H293" t="inlineStr">
        <is>
          <t>VENEZUELANO MORRE APÓS SER FERIDO NO ROSTO ENQUANTO ANDAVA DE BICICLETA EM BOA VISTA</t>
        </is>
      </c>
      <c r="I293" t="inlineStr">
        <is>
          <t>CASO ACONTECEU NA TARDE DESTA SEGUNDA-FEIRA (3), NO BAIRRO SÃO VICENTE.</t>
        </is>
      </c>
      <c r="J293">
        <f>HYPERLINK("https://g1.globo.com/rr/roraima/noticia/2022/01/03/venezuelano-morre-apos-ser-ferido-no-rosto-enquanto-andava-de-bicicleta-em-boa-vista.ghtml", "URL")</f>
        <v/>
      </c>
      <c r="K293">
        <f>HYPERLINK("https://raw.githubusercontent.com/marcosmapl/dataset_imigrantes/main/noticias_filtered/g1/venezuelanos/2022/00_jan/html/g1_6f4691e6-2315-11ed-b24f-6dbe51e79fca_3084.html", "HTML")</f>
        <v/>
      </c>
      <c r="L293">
        <f>HYPERLINK("https://raw.githubusercontent.com/marcosmapl/dataset_imigrantes/main/noticias_filtered/g1/venezuelanos/2022/00_jan/txt/g1_6f4691e6-2315-11ed-b24f-6dbe51e79fca_3084.txt", "TXT")</f>
        <v/>
      </c>
    </row>
    <row r="294">
      <c r="A294" s="1" t="n">
        <v>292</v>
      </c>
      <c r="B294" t="n">
        <v>2022</v>
      </c>
      <c r="C294" s="2" t="n">
        <v>44564.59435341435</v>
      </c>
      <c r="D294" t="inlineStr">
        <is>
          <t>G1</t>
        </is>
      </c>
      <c r="E294" t="inlineStr">
        <is>
          <t>VENEZUELANOS</t>
        </is>
      </c>
      <c r="F294" t="inlineStr">
        <is>
          <t>RORAIMA</t>
        </is>
      </c>
      <c r="G294" t="inlineStr">
        <is>
          <t>G1 RR — BOA VISTA</t>
        </is>
      </c>
      <c r="H294" t="inlineStr">
        <is>
          <t>VENEZUELANO É ASSASSINADO COM DOIS TIROS NA CABEÇA NA ZONA SUL DE BOA VISTA</t>
        </is>
      </c>
      <c r="I294" t="inlineStr">
        <is>
          <t>O CRIME OCORREU NESTE DOMINGO (2) NO BAIRRO 13 DE SETEMBRO. NINGUÉM FOI PRESO.</t>
        </is>
      </c>
      <c r="J294">
        <f>HYPERLINK("https://g1.globo.com/rr/roraima/noticia/2022/01/03/venezuelano-e-assassinado-com-dois-tiros-na-cabeca-na-zona-sul-de-boa-vista.ghtml", "URL")</f>
        <v/>
      </c>
      <c r="K294">
        <f>HYPERLINK("https://raw.githubusercontent.com/marcosmapl/dataset_imigrantes/main/noticias_filtered/g1/venezuelanos/2022/00_jan/html/g1_2006199e-2324-11ed-b24f-6dbe51e79fca_3851.html", "HTML")</f>
        <v/>
      </c>
      <c r="L294">
        <f>HYPERLINK("https://raw.githubusercontent.com/marcosmapl/dataset_imigrantes/main/noticias_filtered/g1/venezuelanos/2022/00_jan/txt/g1_2006199e-2324-11ed-b24f-6dbe51e79fca_3851.txt", "TXT")</f>
        <v/>
      </c>
    </row>
    <row r="295">
      <c r="A295" s="1" t="n">
        <v>293</v>
      </c>
      <c r="B295" t="n">
        <v>2022</v>
      </c>
      <c r="C295" s="2" t="n">
        <v>44564.00274305556</v>
      </c>
      <c r="D295" t="inlineStr">
        <is>
          <t>A CRITICA</t>
        </is>
      </c>
      <c r="E295" t="inlineStr">
        <is>
          <t>VENEZUELANOS</t>
        </is>
      </c>
      <c r="F295" t="inlineStr">
        <is>
          <t>POLICIA</t>
        </is>
      </c>
      <c r="G295" t="inlineStr">
        <is>
          <t>THIAGO MONTEIRO</t>
        </is>
      </c>
      <c r="H295" t="inlineStr">
        <is>
          <t>CABELEIREIRO É ASSASSINADO COM QUATRO FACADAS EM CONDOMÍNIO</t>
        </is>
      </c>
      <c r="I295" t="inlineStr">
        <is>
          <t>DE ACORDO COM A PERÍCIA, A VÍTIMA TENTOU SE DEFENDER DURANTE O ASSASSINATO, POIS FOI ATINGIDO COM FACADAS NO BRAÇO, ALÉM DE PERFURAÇÕES FATAIS NO PESCOÇO</t>
        </is>
      </c>
      <c r="J295">
        <f>HYPERLINK("https://www.acritica.com/policia/cabeleireiro-e-assassinado-com-quatro-facadas-em-condominio-1.2867", "URL")</f>
        <v/>
      </c>
      <c r="K295">
        <f>HYPERLINK("https://raw.githubusercontent.com/marcosmapl/dataset_imigrantes/main/noticias_filtered/a_critica/venezuelanos/2022/00_jan/html/1.2867_25.html", "HTML")</f>
        <v/>
      </c>
      <c r="L295">
        <f>HYPERLINK("https://raw.githubusercontent.com/marcosmapl/dataset_imigrantes/main/noticias_filtered/a_critica/venezuelanos/2022/00_jan/txt/1.2867_25.txt", "TXT")</f>
        <v/>
      </c>
    </row>
    <row r="296">
      <c r="A296" s="1" t="n">
        <v>294</v>
      </c>
      <c r="B296" t="n">
        <v>2022</v>
      </c>
      <c r="C296" s="2" t="n">
        <v>44563.43664732639</v>
      </c>
      <c r="D296" t="inlineStr">
        <is>
          <t>G1</t>
        </is>
      </c>
      <c r="E296" t="inlineStr">
        <is>
          <t>VENEZUELANOS</t>
        </is>
      </c>
      <c r="F296" t="inlineStr">
        <is>
          <t>MUNDO</t>
        </is>
      </c>
      <c r="G296" t="inlineStr"/>
      <c r="H296" t="inlineStr">
        <is>
          <t>COM MENOS VENEZUELANOS, NÚMERO DE NOVOS REFUGIADOS NO BRASIL CAI 91%</t>
        </is>
      </c>
      <c r="I296" t="inlineStr">
        <is>
          <t>EM 2020, MINISTÉRIO DA JUSTIÇA RECONHECEU MAIS DE 26 MIL PESSOAS COMO REFUGIADAS. EM 2021, NÚMERO CAIU PARA POUCO MAIS DE 2 MIL.</t>
        </is>
      </c>
      <c r="J296">
        <f>HYPERLINK("https://g1.globo.com/mundo/noticia/2022/01/02/com-menos-venezuelanos-numero-de-novos-refugiados-no-brasil-cai-91percent.ghtml", "URL")</f>
        <v/>
      </c>
      <c r="K296">
        <f>HYPERLINK("https://raw.githubusercontent.com/marcosmapl/dataset_imigrantes/main/noticias_filtered/g1/venezuelanos/2022/00_jan/html/g1_4eb338b0-2321-11ed-b24f-6dbe51e79fca_3692.html", "HTML")</f>
        <v/>
      </c>
      <c r="L296">
        <f>HYPERLINK("https://raw.githubusercontent.com/marcosmapl/dataset_imigrantes/main/noticias_filtered/g1/venezuelanos/2022/00_jan/txt/g1_4eb338b0-2321-11ed-b24f-6dbe51e79fca_3692.txt", "TXT")</f>
        <v/>
      </c>
    </row>
    <row r="297">
      <c r="A297" s="1" t="n">
        <v>295</v>
      </c>
      <c r="B297" t="n">
        <v>2022</v>
      </c>
      <c r="C297" s="2" t="n">
        <v>44562.76379039352</v>
      </c>
      <c r="D297" t="inlineStr">
        <is>
          <t>G1</t>
        </is>
      </c>
      <c r="E297" t="inlineStr">
        <is>
          <t>VENEZUELANOS</t>
        </is>
      </c>
      <c r="F297" t="inlineStr">
        <is>
          <t>RORAIMA</t>
        </is>
      </c>
      <c r="G297" t="inlineStr">
        <is>
          <t>G1 RR — BOA VISTA</t>
        </is>
      </c>
      <c r="H297" t="inlineStr">
        <is>
          <t>VENEZUELANO É MORTO A FACADAS APÓS DISCUSSÃO EM BAR NA ZONA OESTE DE BOA VISTA</t>
        </is>
      </c>
      <c r="I297" t="inlineStr">
        <is>
          <t>SUSPEITO DO CRIME FOI PRESO PELA POLÍCIA MILITAR.</t>
        </is>
      </c>
      <c r="J297">
        <f>HYPERLINK("https://g1.globo.com/rr/roraima/noticia/2022/01/01/venezuelano-e-morto-a-facadas-apos-discussao-em-bar-na-zona-oeste-de-boa-vista.ghtml", "URL")</f>
        <v/>
      </c>
      <c r="K297">
        <f>HYPERLINK("https://raw.githubusercontent.com/marcosmapl/dataset_imigrantes/main/noticias_filtered/g1/venezuelanos/2022/00_jan/html/g1_e58003dc-2307-11ed-b24f-6dbe51e79fca_2350.html", "HTML")</f>
        <v/>
      </c>
      <c r="L297">
        <f>HYPERLINK("https://raw.githubusercontent.com/marcosmapl/dataset_imigrantes/main/noticias_filtered/g1/venezuelanos/2022/00_jan/txt/g1_e58003dc-2307-11ed-b24f-6dbe51e79fca_2350.txt", "TXT")</f>
        <v/>
      </c>
    </row>
    <row r="298">
      <c r="A298" s="1" t="n">
        <v>296</v>
      </c>
      <c r="B298" t="n">
        <v>2021</v>
      </c>
      <c r="C298" s="2" t="n">
        <v>44561.70828703704</v>
      </c>
      <c r="D298" t="inlineStr">
        <is>
          <t>A CRITICA</t>
        </is>
      </c>
      <c r="E298" t="inlineStr">
        <is>
          <t>VENEZUELANOS</t>
        </is>
      </c>
      <c r="F298" t="inlineStr">
        <is>
          <t>MANAUS</t>
        </is>
      </c>
      <c r="G298" t="inlineStr">
        <is>
          <t>KAROL ROCHA</t>
        </is>
      </c>
      <c r="H298" t="inlineStr">
        <is>
          <t>POLÍCIA CIVIL APREENDE MEIA TONELADA DE MACONHA TIPO SKANK</t>
        </is>
      </c>
      <c r="I298" t="inlineStr">
        <is>
          <t>APREENSÃO OCORREU POR VOLTA DAS 7 HORAS DESTA SEXTA-FEIRA EM UM POSTO DE LAVAGEM DE CARROS, NO BAIRRO DOM PEDRO, ZONA CENTRO-OESTE DE MANAUS.</t>
        </is>
      </c>
      <c r="J298">
        <f>HYPERLINK("https://www.acritica.com/manaus/policia-civil-apreende-meia-tonelada-de-maconha-tipo-skank-1.2940", "URL")</f>
        <v/>
      </c>
      <c r="K298">
        <f>HYPERLINK("https://raw.githubusercontent.com/marcosmapl/dataset_imigrantes/main/noticias_filtered/a_critica/venezuelanos/2021/11_dez/html/1.2940_833.html", "HTML")</f>
        <v/>
      </c>
      <c r="L298">
        <f>HYPERLINK("https://raw.githubusercontent.com/marcosmapl/dataset_imigrantes/main/noticias_filtered/a_critica/venezuelanos/2021/11_dez/txt/1.2940_833.txt", "TXT")</f>
        <v/>
      </c>
    </row>
    <row r="299">
      <c r="A299" s="1" t="n">
        <v>297</v>
      </c>
      <c r="B299" t="n">
        <v>2021</v>
      </c>
      <c r="C299" s="2" t="n">
        <v>44560.83333333334</v>
      </c>
      <c r="D299" t="inlineStr">
        <is>
          <t>PORTAL AMAZONIA</t>
        </is>
      </c>
      <c r="E299" t="inlineStr">
        <is>
          <t>HAITIANOS</t>
        </is>
      </c>
      <c r="F299" t="inlineStr">
        <is>
          <t>ACRE</t>
        </is>
      </c>
      <c r="G299" t="inlineStr">
        <is>
          <t>REDAÇÃO - JORNALISMO@PORTALAMAZONIA.COM.BR</t>
        </is>
      </c>
      <c r="H299" t="inlineStr">
        <is>
          <t>RETROSPECTIVA 2021: CONFIRA OS PRINCIPAIS ACONTECIMENTOS DO ANO NO ACRE</t>
        </is>
      </c>
      <c r="I299" t="inlineStr">
        <is>
          <t>EM 2021 O ACRE PASSOU POR PROBLEMAS NA SAÚDE PÚBLICA EM FUNÇÃO DA PANDEMIA DA COVID-19, MAS TAMBÉM REGISTROU SITUAÇÕES INUSITADAS. CONFIRA QUAIS FORAM OS FATOS E NÚMEROS QUE MARCARAM O ESTADO NA 'RETROSPECTIVA 2021 - ACRE', NO PORTAL AMAZÔNIA:</t>
        </is>
      </c>
      <c r="J299">
        <f>HYPERLINK("https://portalamazonia.com/estados/acre/retrospectiva-2021-confira-os-principais-acontecimentos-do-ano-no-acre", "URL")</f>
        <v/>
      </c>
      <c r="K299">
        <f>HYPERLINK("https://raw.githubusercontent.com/marcosmapl/dataset_imigrantes/main/noticias_filtered/portal_amazonia/haitianos/2021/11_dez/html/34723.83823_1390.html", "HTML")</f>
        <v/>
      </c>
      <c r="L299">
        <f>HYPERLINK("https://raw.githubusercontent.com/marcosmapl/dataset_imigrantes/main/noticias_filtered/portal_amazonia/haitianos/2021/11_dez/txt/34723.83823_1390.txt", "TXT")</f>
        <v/>
      </c>
    </row>
    <row r="300">
      <c r="A300" s="1" t="n">
        <v>298</v>
      </c>
      <c r="B300" t="n">
        <v>2021</v>
      </c>
      <c r="C300" s="2" t="n">
        <v>44560.46806314815</v>
      </c>
      <c r="D300" t="inlineStr">
        <is>
          <t>G1</t>
        </is>
      </c>
      <c r="E300" t="inlineStr">
        <is>
          <t>HAITIANOS</t>
        </is>
      </c>
      <c r="F300" t="inlineStr">
        <is>
          <t>SOROCABA E JUNDIAÍ</t>
        </is>
      </c>
      <c r="G300" t="inlineStr">
        <is>
          <t>ANA PAULA YABIKU, G1 SOROCABA E JUNDIAÍ</t>
        </is>
      </c>
      <c r="H300" t="inlineStr">
        <is>
          <t>CUIDADORA HOSTILIZADA, 'SALVE A FERNANDINHA' E CADELA FURTADA: AS HISTÓRIAS QUE VIRALIZARAM NAS REGIÕES DE SOROCABA E JUNDIAÍ EM 2021</t>
        </is>
      </c>
      <c r="I300" t="inlineStr">
        <is>
          <t>EM CLIMA DE RETROSPECTIVA, O G1 LISTOU ALGUMAS DAS HISTÓRIAS POLÊMICAS E INUSITADAS QUE BOMBARAM NA REGIÃO AO LONGO DO ANO.</t>
        </is>
      </c>
      <c r="J300">
        <f>HYPERLINK("https://g1.globo.com/sp/sorocaba-jundiai/noticia/2021/12/30/cuidadora-hostilizada-salve-a-fernandinha-e-cadela-furtada-as-historias-que-viralizaram-nas-regioes-de-sorocaba-e-jundiai-em-2021.ghtml", "URL")</f>
        <v/>
      </c>
      <c r="K300">
        <f>HYPERLINK("https://raw.githubusercontent.com/marcosmapl/dataset_imigrantes/main/noticias_filtered/g1/haitianos/2021/11_dez/html/g1_1cd196f0-231e-11ed-b24f-6dbe51e79fca_3541.html", "HTML")</f>
        <v/>
      </c>
      <c r="L300">
        <f>HYPERLINK("https://raw.githubusercontent.com/marcosmapl/dataset_imigrantes/main/noticias_filtered/g1/haitianos/2021/11_dez/txt/g1_1cd196f0-231e-11ed-b24f-6dbe51e79fca_3541.txt", "TXT")</f>
        <v/>
      </c>
    </row>
    <row r="301">
      <c r="A301" s="1" t="n">
        <v>299</v>
      </c>
      <c r="B301" t="n">
        <v>2021</v>
      </c>
      <c r="C301" s="2" t="n">
        <v>44557.96319444444</v>
      </c>
      <c r="D301" t="inlineStr">
        <is>
          <t>A CRITICA</t>
        </is>
      </c>
      <c r="E301" t="inlineStr">
        <is>
          <t>VENEZUELANOS</t>
        </is>
      </c>
      <c r="F301" t="inlineStr">
        <is>
          <t>POLICIA</t>
        </is>
      </c>
      <c r="G301" t="inlineStr">
        <is>
          <t>AMARILES GAMA</t>
        </is>
      </c>
      <c r="H301" t="inlineStr">
        <is>
          <t>VENEZUELANO É MORTO A TIROS EM BARBEARIA NO BAIRRO ALVORADA</t>
        </is>
      </c>
      <c r="I301" t="inlineStr">
        <is>
          <t>O CASO CHOCOU OS MORADORES LOCAIS E ATRAIU DIVERSAS PESSOAS QUE TENTAVAM ENTENDER O OCORRIDO</t>
        </is>
      </c>
      <c r="J301">
        <f>HYPERLINK("https://www.acritica.com/policia/venezuelano-e-morto-a-tiros-em-barbearia-no-bairro-alvorada-1.3248", "URL")</f>
        <v/>
      </c>
      <c r="K301">
        <f>HYPERLINK("https://raw.githubusercontent.com/marcosmapl/dataset_imigrantes/main/noticias_filtered/a_critica/venezuelanos/2021/11_dez/html/1.3248_264.html", "HTML")</f>
        <v/>
      </c>
      <c r="L301">
        <f>HYPERLINK("https://raw.githubusercontent.com/marcosmapl/dataset_imigrantes/main/noticias_filtered/a_critica/venezuelanos/2021/11_dez/txt/1.3248_264.txt", "TXT")</f>
        <v/>
      </c>
    </row>
    <row r="302">
      <c r="A302" s="1" t="n">
        <v>300</v>
      </c>
      <c r="B302" t="n">
        <v>2021</v>
      </c>
      <c r="C302" s="2" t="n">
        <v>44555.505625</v>
      </c>
      <c r="D302" t="inlineStr">
        <is>
          <t>A CRITICA</t>
        </is>
      </c>
      <c r="E302" t="inlineStr">
        <is>
          <t>HAITIANOS</t>
        </is>
      </c>
      <c r="F302" t="inlineStr"/>
      <c r="G302" t="inlineStr">
        <is>
          <t>WALDICK JÚNIOR</t>
        </is>
      </c>
      <c r="H302" t="inlineStr">
        <is>
          <t>'NÃO PODEMOS DEIXAR DE TER ESPERANÇA', DIZ IRMÃ SANTINA PERIN</t>
        </is>
      </c>
      <c r="I302" t="inlineStr">
        <is>
          <t>RELIGIOSA HÁ 54 ANOS, PARTE DELES DEDICADOS AO AMPARO DE PESSOAS EM SITUAÇÃO DE EXTREMA POBREZA NO HAITI E DE MIGRANTES EM MANAUS, ELA RESSALTA QUE É PRECISO CONFIAR EM DEUS, ‘MAS CONFIAR LUTANDO’</t>
        </is>
      </c>
      <c r="J302">
        <f>HYPERLINK("https://www.acritica.com/n-o-podemos-deixar-de-ter-esperanca-diz-irm-santina-perin-1.3333", "URL")</f>
        <v/>
      </c>
      <c r="K302">
        <f>HYPERLINK("https://raw.githubusercontent.com/marcosmapl/dataset_imigrantes/main/noticias_filtered/a_critica/haitianos/2021/11_dez/html/1.3333_879.html", "HTML")</f>
        <v/>
      </c>
      <c r="L302">
        <f>HYPERLINK("https://raw.githubusercontent.com/marcosmapl/dataset_imigrantes/main/noticias_filtered/a_critica/haitianos/2021/11_dez/txt/1.3333_879.txt", "TXT")</f>
        <v/>
      </c>
    </row>
    <row r="303">
      <c r="A303" s="1" t="n">
        <v>301</v>
      </c>
      <c r="B303" t="n">
        <v>2021</v>
      </c>
      <c r="C303" s="2" t="n">
        <v>44552.71709614583</v>
      </c>
      <c r="D303" t="inlineStr">
        <is>
          <t>G1</t>
        </is>
      </c>
      <c r="E303" t="inlineStr">
        <is>
          <t>VENEZUELANOS</t>
        </is>
      </c>
      <c r="F303" t="inlineStr">
        <is>
          <t>PETROLINA E REGIÃO</t>
        </is>
      </c>
      <c r="G303" t="inlineStr">
        <is>
          <t>G1 PETROLINA</t>
        </is>
      </c>
      <c r="H303" t="inlineStr">
        <is>
          <t>CRIANÇAS VENEZUELANAS EM SITUAÇÃO DE MENDICÂNCIA E RISCO SÃO ALVO DE OPERAÇÃO EM PETROLINA</t>
        </is>
      </c>
      <c r="I303" t="inlineStr">
        <is>
          <t>EQUIPES DA PREFEITURA E DE INSTITUIÇÕES DE JUSTIÇA ESTÃO ENTREGANDO NOTIFICAÇÕES AOS PAIS E RESPONSÁVEIS PELAS CRIANÇAS PARA QUE ELAS SEJAM RETIRADAS DAS RUAS DA CIDADE.</t>
        </is>
      </c>
      <c r="J303">
        <f>HYPERLINK("https://g1.globo.com/pe/petrolina-regiao/noticia/2021/12/22/criancas-venezuelanas-em-situacao-de-mendicancia-e-risco-sao-alvo-de-operacao-em-petrolina.ghtml", "URL")</f>
        <v/>
      </c>
      <c r="K303">
        <f>HYPERLINK("https://raw.githubusercontent.com/marcosmapl/dataset_imigrantes/main/noticias_filtered/g1/venezuelanos/2021/11_dez/html/g1_73ddbbe4-231f-11ed-b24f-6dbe51e79fca_3623.html", "HTML")</f>
        <v/>
      </c>
      <c r="L303">
        <f>HYPERLINK("https://raw.githubusercontent.com/marcosmapl/dataset_imigrantes/main/noticias_filtered/g1/venezuelanos/2021/11_dez/txt/g1_73ddbbe4-231f-11ed-b24f-6dbe51e79fca_3623.txt", "TXT")</f>
        <v/>
      </c>
    </row>
    <row r="304">
      <c r="A304" s="1" t="n">
        <v>302</v>
      </c>
      <c r="B304" t="n">
        <v>2021</v>
      </c>
      <c r="C304" s="2" t="n">
        <v>44552.00231271991</v>
      </c>
      <c r="D304" t="inlineStr">
        <is>
          <t>G1</t>
        </is>
      </c>
      <c r="E304" t="inlineStr">
        <is>
          <t>HAITIANOS</t>
        </is>
      </c>
      <c r="F304" t="inlineStr">
        <is>
          <t>MUNDO</t>
        </is>
      </c>
      <c r="G304" t="inlineStr">
        <is>
          <t>BBC</t>
        </is>
      </c>
      <c r="H304" t="inlineStr">
        <is>
          <t>A FUGA DRAMÁTICA DE GRUPO DE MISSIONÁRIOS SEQUESTRADOS NO HAITI</t>
        </is>
      </c>
      <c r="I304" t="inlineStr">
        <is>
          <t>REFÉNS DIZEM TER SE GUIADO PELAS ESTRELAS ENQUANTO CAMINHAVAM POR MAIS DE DUAS HORAS EM UMA MATA FECHADA.</t>
        </is>
      </c>
      <c r="J304">
        <f>HYPERLINK("https://g1.globo.com/mundo/noticia/2021/12/21/a-fuga-dramatica-de-grupo-de-missionarios-sequestrados-no-haiti.ghtml", "URL")</f>
        <v/>
      </c>
      <c r="K304">
        <f>HYPERLINK("https://raw.githubusercontent.com/marcosmapl/dataset_imigrantes/main/noticias_filtered/g1/haitianos/2021/11_dez/html/g1_2cd2ed02-2327-11ed-b24f-6dbe51e79fca_4021.html", "HTML")</f>
        <v/>
      </c>
      <c r="L304">
        <f>HYPERLINK("https://raw.githubusercontent.com/marcosmapl/dataset_imigrantes/main/noticias_filtered/g1/haitianos/2021/11_dez/txt/g1_2cd2ed02-2327-11ed-b24f-6dbe51e79fca_4021.txt", "TXT")</f>
        <v/>
      </c>
    </row>
    <row r="305">
      <c r="A305" s="1" t="n">
        <v>303</v>
      </c>
      <c r="B305" t="n">
        <v>2021</v>
      </c>
      <c r="C305" s="2" t="n">
        <v>44551.65617623842</v>
      </c>
      <c r="D305" t="inlineStr">
        <is>
          <t>G1</t>
        </is>
      </c>
      <c r="E305" t="inlineStr">
        <is>
          <t>VENEZUELANOS</t>
        </is>
      </c>
      <c r="F305" t="inlineStr">
        <is>
          <t>RORAIMA</t>
        </is>
      </c>
      <c r="G305" t="inlineStr">
        <is>
          <t>G1 RR — BOA VISTA</t>
        </is>
      </c>
      <c r="H305" t="inlineStr">
        <is>
          <t>MULHERES VENEZUELANAS CONCLUEM CURSO E RECEBEM CERTIFICADO DE PEDREIRAS DE CONSTRUÇÃO EM RR</t>
        </is>
      </c>
      <c r="I305" t="inlineStr">
        <is>
          <t>GRUPO DE 13 MULHERES RECEBEU O CERTIFICADO DE "PEDREIRA DE REVESTIMENTO CERÂMICO", EM BOA VISTA.</t>
        </is>
      </c>
      <c r="J305">
        <f>HYPERLINK("https://g1.globo.com/rr/roraima/noticia/2021/12/21/mulheres-venezuelanas-concluem-curso-e-recebem-certificado-de-pedreiras-de-construcao-em-rr.ghtml", "URL")</f>
        <v/>
      </c>
      <c r="K305">
        <f>HYPERLINK("https://raw.githubusercontent.com/marcosmapl/dataset_imigrantes/main/noticias_filtered/g1/venezuelanos/2021/11_dez/html/g1_1418e366-2327-11ed-b24f-6dbe51e79fca_4016.html", "HTML")</f>
        <v/>
      </c>
      <c r="L305">
        <f>HYPERLINK("https://raw.githubusercontent.com/marcosmapl/dataset_imigrantes/main/noticias_filtered/g1/venezuelanos/2021/11_dez/txt/g1_1418e366-2327-11ed-b24f-6dbe51e79fca_4016.txt", "TXT")</f>
        <v/>
      </c>
    </row>
    <row r="306">
      <c r="A306" s="1" t="n">
        <v>304</v>
      </c>
      <c r="B306" t="n">
        <v>2021</v>
      </c>
      <c r="C306" s="2" t="n">
        <v>44551.53080402778</v>
      </c>
      <c r="D306" t="inlineStr">
        <is>
          <t>G1</t>
        </is>
      </c>
      <c r="E306" t="inlineStr">
        <is>
          <t>VENEZUELANOS</t>
        </is>
      </c>
      <c r="F306" t="inlineStr">
        <is>
          <t>SANTA CATARINA</t>
        </is>
      </c>
      <c r="G306" t="inlineStr">
        <is>
          <t>G1 SC</t>
        </is>
      </c>
      <c r="H306" t="inlineStr">
        <is>
          <t>HOMEM SUSPEITO DE MATAR 3 VENEZUELANOS É PRESO EM SC</t>
        </is>
      </c>
      <c r="I306" t="inlineStr">
        <is>
          <t>SEGUNDO A POLÍCIA, INVESTIGADO FOI ENCONTRADO EM UMA CASA EM BALNEÁRIO CAMBORIÚ. ASSASSINATOS OCORRERAM NO DOMINGO.</t>
        </is>
      </c>
      <c r="J306">
        <f>HYPERLINK("https://g1.globo.com/sc/santa-catarina/noticia/2021/12/21/homem-suspeito-de-matar-tres-amigos-venezuelanos-e-preso-em-sc.ghtml", "URL")</f>
        <v/>
      </c>
      <c r="K306">
        <f>HYPERLINK("https://raw.githubusercontent.com/marcosmapl/dataset_imigrantes/main/noticias_filtered/g1/venezuelanos/2021/11_dez/html/g1_cb16abb6-230e-11ed-b24f-6dbe51e79fca_2757.html", "HTML")</f>
        <v/>
      </c>
      <c r="L306">
        <f>HYPERLINK("https://raw.githubusercontent.com/marcosmapl/dataset_imigrantes/main/noticias_filtered/g1/venezuelanos/2021/11_dez/txt/g1_cb16abb6-230e-11ed-b24f-6dbe51e79fca_2757.txt", "TXT")</f>
        <v/>
      </c>
    </row>
    <row r="307">
      <c r="A307" s="1" t="n">
        <v>305</v>
      </c>
      <c r="B307" t="n">
        <v>2021</v>
      </c>
      <c r="C307" s="2" t="n">
        <v>44550.77518873843</v>
      </c>
      <c r="D307" t="inlineStr">
        <is>
          <t>G1</t>
        </is>
      </c>
      <c r="E307" t="inlineStr">
        <is>
          <t>VENEZUELANOS</t>
        </is>
      </c>
      <c r="F307" t="inlineStr">
        <is>
          <t>RORAIMA</t>
        </is>
      </c>
      <c r="G307" t="inlineStr">
        <is>
          <t>G1 RR — BOA VISTA</t>
        </is>
      </c>
      <c r="H307" t="inlineStr">
        <is>
          <t>AÇÕES DA ONG VISÃO MUNDIAL BENEFICIARAM CERCA DE 40 MIL VENEZUELANOS EM RORAIMA, AMAZONAS E SÃO PAULO</t>
        </is>
      </c>
      <c r="I307" t="inlineStr">
        <is>
          <t>DO TOTAL, MAIS DA METADE - 28 MIL - FORAM ATENDIMENTOS FEITOS EM RORAIMA, PRINCIPAL PORTA DE ENTRADA PARA MIGRANTES QUE ENTRAM NO BRASIL EM BUSCA DE UMA VIDA MELHOR.</t>
        </is>
      </c>
      <c r="J307">
        <f>HYPERLINK("https://g1.globo.com/rr/roraima/noticia/2021/12/20/acoes-da-ong-visao-mundial-beneficiaram-cerca-de-40-mil-venezuelanos-em-roraima-amazonas-e-sao-paulo.ghtml", "URL")</f>
        <v/>
      </c>
      <c r="K307">
        <f>HYPERLINK("https://raw.githubusercontent.com/marcosmapl/dataset_imigrantes/main/noticias_filtered/g1/venezuelanos/2021/11_dez/html/g1_f2ac46fe-232c-11ed-b24f-6dbe51e79fca_4335.html", "HTML")</f>
        <v/>
      </c>
      <c r="L307">
        <f>HYPERLINK("https://raw.githubusercontent.com/marcosmapl/dataset_imigrantes/main/noticias_filtered/g1/venezuelanos/2021/11_dez/txt/g1_f2ac46fe-232c-11ed-b24f-6dbe51e79fca_4335.txt", "TXT")</f>
        <v/>
      </c>
    </row>
    <row r="308">
      <c r="A308" s="1" t="n">
        <v>306</v>
      </c>
      <c r="B308" t="n">
        <v>2021</v>
      </c>
      <c r="C308" s="2" t="n">
        <v>44550.69992457176</v>
      </c>
      <c r="D308" t="inlineStr">
        <is>
          <t>G1</t>
        </is>
      </c>
      <c r="E308" t="inlineStr">
        <is>
          <t>VENEZUELANOS</t>
        </is>
      </c>
      <c r="F308" t="inlineStr">
        <is>
          <t>SANTA CATARINA</t>
        </is>
      </c>
      <c r="G308" t="inlineStr">
        <is>
          <t>G1 SC E NSC TV</t>
        </is>
      </c>
      <c r="H308" t="inlineStr">
        <is>
          <t>SUSPEITO DE ASSASSINAR TRÊS VENEZUELANOS EM SC JÁ HAVIA AMEAÇADO UMA DAS VÍTIMAS, DIZ POLÍCIA</t>
        </is>
      </c>
      <c r="I308" t="inlineStr">
        <is>
          <t>AMIGOS FORAM ENTERRADOS NESTA SEGUNDA-FEIRA. CRIME ACONTECEU EM CAMBORIÚ, NO LITORAL NORTE CATARINENSE, NO DOMINGO (19).</t>
        </is>
      </c>
      <c r="J308">
        <f>HYPERLINK("https://g1.globo.com/sc/santa-catarina/noticia/2021/12/20/suspeito-de-matar-tres-venezuelanos-a-tiros-em-sc-e-identificado-pela-policia.ghtml", "URL")</f>
        <v/>
      </c>
      <c r="K308">
        <f>HYPERLINK("https://raw.githubusercontent.com/marcosmapl/dataset_imigrantes/main/noticias_filtered/g1/venezuelanos/2021/11_dez/html/g1_dc3235a4-230f-11ed-b24f-6dbe51e79fca_2823.html", "HTML")</f>
        <v/>
      </c>
      <c r="L308">
        <f>HYPERLINK("https://raw.githubusercontent.com/marcosmapl/dataset_imigrantes/main/noticias_filtered/g1/venezuelanos/2021/11_dez/txt/g1_dc3235a4-230f-11ed-b24f-6dbe51e79fca_2823.txt", "TXT")</f>
        <v/>
      </c>
    </row>
    <row r="309">
      <c r="A309" s="1" t="n">
        <v>307</v>
      </c>
      <c r="B309" t="n">
        <v>2021</v>
      </c>
      <c r="C309" s="2" t="n">
        <v>44549.78936201389</v>
      </c>
      <c r="D309" t="inlineStr">
        <is>
          <t>G1</t>
        </is>
      </c>
      <c r="E309" t="inlineStr">
        <is>
          <t>VENEZUELANOS</t>
        </is>
      </c>
      <c r="F309" t="inlineStr">
        <is>
          <t>SANTA CATARINA</t>
        </is>
      </c>
      <c r="G309" t="inlineStr">
        <is>
          <t>CLARISSA BATTISTELLA, G1 SC</t>
        </is>
      </c>
      <c r="H309" t="inlineStr">
        <is>
          <t>TRÊS VENEZUELANOS SÃO ASSASSINADOS EM CAMBORIÚ</t>
        </is>
      </c>
      <c r="I309" t="inlineStr">
        <is>
          <t>UM DELES CHEGOU A SER SOCORRIDO AO HOSPITAL, MAS NÃO RESISTIU. NINGUÉM FOI PRESO.</t>
        </is>
      </c>
      <c r="J309">
        <f>HYPERLINK("https://g1.globo.com/sc/santa-catarina/noticia/2021/12/19/tres-venezuelanos-sao-assassinados-em-camboriu.ghtml", "URL")</f>
        <v/>
      </c>
      <c r="K309">
        <f>HYPERLINK("https://raw.githubusercontent.com/marcosmapl/dataset_imigrantes/main/noticias_filtered/g1/venezuelanos/2021/11_dez/html/g1_91c40d84-2315-11ed-b24f-6dbe51e79fca_3093.html", "HTML")</f>
        <v/>
      </c>
      <c r="L309">
        <f>HYPERLINK("https://raw.githubusercontent.com/marcosmapl/dataset_imigrantes/main/noticias_filtered/g1/venezuelanos/2021/11_dez/txt/g1_91c40d84-2315-11ed-b24f-6dbe51e79fca_3093.txt", "TXT")</f>
        <v/>
      </c>
    </row>
    <row r="310">
      <c r="A310" s="1" t="n">
        <v>308</v>
      </c>
      <c r="B310" t="n">
        <v>2021</v>
      </c>
      <c r="C310" s="2" t="n">
        <v>44546.72168454861</v>
      </c>
      <c r="D310" t="inlineStr">
        <is>
          <t>G1</t>
        </is>
      </c>
      <c r="E310" t="inlineStr">
        <is>
          <t>VENEZUELANOS</t>
        </is>
      </c>
      <c r="F310" t="inlineStr">
        <is>
          <t>ALAGOAS</t>
        </is>
      </c>
      <c r="G310" t="inlineStr">
        <is>
          <t>G1 AL</t>
        </is>
      </c>
      <c r="H310" t="inlineStr">
        <is>
          <t>MPF PEDE ESCLARECIMENTOS À FUNAI E PREFEITURA DE ARAPIRACA SOBRE SITUAÇÃO PRECÁRIA DE ALOJAMENTO DE INDÍGENAS VENEZUELANOS</t>
        </is>
      </c>
      <c r="I310" t="inlineStr">
        <is>
          <t>INDÍGENAS DA ETNIA WARAO FAZEM PARTE DO FLUXO MIGRATÓRIO CAUSADO PELA CRISE ECONÔMICA E CONFLITOS POLÍTICOS NA VENEZUELA.</t>
        </is>
      </c>
      <c r="J310">
        <f>HYPERLINK("https://g1.globo.com/al/alagoas/noticia/2021/12/16/mpf-pede-esclarecimentos-a-funai-e-prefeitura-de-arapiraca-al-sobre-situacao-precaria-de-alojamento-de-indigenas-venezuelanos.ghtml", "URL")</f>
        <v/>
      </c>
      <c r="K310">
        <f>HYPERLINK("https://raw.githubusercontent.com/marcosmapl/dataset_imigrantes/main/noticias_filtered/g1/venezuelanos/2021/11_dez/html/g1_0ba1e8aa-230d-11ed-b24f-6dbe51e79fca_2664.html", "HTML")</f>
        <v/>
      </c>
      <c r="L310">
        <f>HYPERLINK("https://raw.githubusercontent.com/marcosmapl/dataset_imigrantes/main/noticias_filtered/g1/venezuelanos/2021/11_dez/txt/g1_0ba1e8aa-230d-11ed-b24f-6dbe51e79fca_2664.txt", "TXT")</f>
        <v/>
      </c>
    </row>
    <row r="311">
      <c r="A311" s="1" t="n">
        <v>309</v>
      </c>
      <c r="B311" t="n">
        <v>2021</v>
      </c>
      <c r="C311" s="2" t="n">
        <v>44544.76818287037</v>
      </c>
      <c r="D311" t="inlineStr">
        <is>
          <t>A CRITICA</t>
        </is>
      </c>
      <c r="E311" t="inlineStr">
        <is>
          <t>VENEZUELANOS</t>
        </is>
      </c>
      <c r="F311" t="inlineStr">
        <is>
          <t>POLICIA</t>
        </is>
      </c>
      <c r="G311" t="inlineStr">
        <is>
          <t>PORTAL A CRÍTICA</t>
        </is>
      </c>
      <c r="H311" t="inlineStr">
        <is>
          <t>SUSPEITO DE TRÁFICO É PRESO EM FRENTE A HOTEL NO CENTRO DE MANAUS</t>
        </is>
      </c>
      <c r="I311" t="inlineStr">
        <is>
          <t>DURANTE A ABORDAGEM, O VENEZUELANO JOGOU UMA PEQUENA BOLSA NO CHÃO QUE CONTINHA DROGAS, R$ 69 E US$ 5 EM DINHEIRO, ALÉM DE UMA BALANÇA DIGITAL.</t>
        </is>
      </c>
      <c r="J311">
        <f>HYPERLINK("https://www.acritica.com/policia/suspeito-de-trafico-e-preso-em-frente-a-hotel-no-centro-de-manaus-1.3561", "URL")</f>
        <v/>
      </c>
      <c r="K311">
        <f>HYPERLINK("https://raw.githubusercontent.com/marcosmapl/dataset_imigrantes/main/noticias_filtered/a_critica/venezuelanos/2021/11_dez/html/1.3561_200.html", "HTML")</f>
        <v/>
      </c>
      <c r="L311">
        <f>HYPERLINK("https://raw.githubusercontent.com/marcosmapl/dataset_imigrantes/main/noticias_filtered/a_critica/venezuelanos/2021/11_dez/txt/1.3561_200.txt", "TXT")</f>
        <v/>
      </c>
    </row>
    <row r="312">
      <c r="A312" s="1" t="n">
        <v>310</v>
      </c>
      <c r="B312" t="n">
        <v>2021</v>
      </c>
      <c r="C312" s="2" t="n">
        <v>44542.83154443287</v>
      </c>
      <c r="D312" t="inlineStr">
        <is>
          <t>G1</t>
        </is>
      </c>
      <c r="E312" t="inlineStr">
        <is>
          <t>HAITIANOS</t>
        </is>
      </c>
      <c r="F312" t="inlineStr">
        <is>
          <t>MUNDO</t>
        </is>
      </c>
      <c r="G312" t="inlineStr">
        <is>
          <t>REUTERS</t>
        </is>
      </c>
      <c r="H312" t="inlineStr">
        <is>
          <t>PRESIDENTE DO HAITI ESTAVA INVESTIGANDO AUTORIDADES LIGADAS AO TRÁFICO DE DROGAS QUANDO FOI MORTO, DIZ NYT</t>
        </is>
      </c>
      <c r="I312" t="inlineStr">
        <is>
          <t>AUTORIDADES HAITIANAS PRENDERAM 45 PESSOAS, MAS AINDA NÃO ACUSARAM NINGUÉM PELO CRIME.</t>
        </is>
      </c>
      <c r="J312">
        <f>HYPERLINK("https://g1.globo.com/mundo/noticia/2021/12/12/presidente-do-haiti-estava-investigando-autoridades-ligadas-ao-trafico-de-drogas-quando-foi-morto-diz-nyt.ghtml", "URL")</f>
        <v/>
      </c>
      <c r="K312">
        <f>HYPERLINK("https://raw.githubusercontent.com/marcosmapl/dataset_imigrantes/main/noticias_filtered/g1/haitianos/2021/11_dez/html/g1_a8c9ad9a-22ed-11ed-b24f-6dbe51e79fca_1684.html", "HTML")</f>
        <v/>
      </c>
      <c r="L312">
        <f>HYPERLINK("https://raw.githubusercontent.com/marcosmapl/dataset_imigrantes/main/noticias_filtered/g1/haitianos/2021/11_dez/txt/g1_a8c9ad9a-22ed-11ed-b24f-6dbe51e79fca_1684.txt", "TXT")</f>
        <v/>
      </c>
    </row>
    <row r="313">
      <c r="A313" s="1" t="n">
        <v>311</v>
      </c>
      <c r="B313" t="n">
        <v>2021</v>
      </c>
      <c r="C313" s="2" t="n">
        <v>44539.45625</v>
      </c>
      <c r="D313" t="inlineStr">
        <is>
          <t>PORTAL AMAZONIA</t>
        </is>
      </c>
      <c r="E313" t="inlineStr">
        <is>
          <t>VENEZUELANOS</t>
        </is>
      </c>
      <c r="F313" t="inlineStr">
        <is>
          <t>AMAZÔNIA INTERNACIONAL</t>
        </is>
      </c>
      <c r="G313" t="inlineStr">
        <is>
          <t>REDAÇÃO</t>
        </is>
      </c>
      <c r="H313" t="inlineStr">
        <is>
          <t>SELEÇÃO BRASILEIRA FEMININA BATE O CHILE EM MANAUS E VENCE TORNEIO INTERNACIONAL</t>
        </is>
      </c>
      <c r="I313" t="inlineStr">
        <is>
          <t>O ELENCO COMANDADO POR PIA SUNDHAGE CONSEGUIU FURAR A RETRANCA CHILENA E SAGROU-SE CAMPEÃO, APÓS BATER AS ADVERSÁRIAS POR 2 A 0.</t>
        </is>
      </c>
      <c r="J313">
        <f>HYPERLINK("https://portalamazonia.com/estados/amazonia-internacional/selecao-brasileira-feminina-bate-o-chile-em-manaus-e-vence-torneio-internacional", "URL")</f>
        <v/>
      </c>
      <c r="K313">
        <f>HYPERLINK("https://raw.githubusercontent.com/marcosmapl/dataset_imigrantes/main/noticias_filtered/portal_amazonia/venezuelanos/2021/11_dez/html/34608.83370_1515.html", "HTML")</f>
        <v/>
      </c>
      <c r="L313">
        <f>HYPERLINK("https://raw.githubusercontent.com/marcosmapl/dataset_imigrantes/main/noticias_filtered/portal_amazonia/venezuelanos/2021/11_dez/txt/34608.83370_1515.txt", "TXT")</f>
        <v/>
      </c>
    </row>
    <row r="314">
      <c r="A314" s="1" t="n">
        <v>312</v>
      </c>
      <c r="B314" t="n">
        <v>2021</v>
      </c>
      <c r="C314" s="2" t="n">
        <v>44537.89344244213</v>
      </c>
      <c r="D314" t="inlineStr">
        <is>
          <t>G1</t>
        </is>
      </c>
      <c r="E314" t="inlineStr">
        <is>
          <t>HAITIANOS</t>
        </is>
      </c>
      <c r="F314" t="inlineStr">
        <is>
          <t>MUNDO</t>
        </is>
      </c>
      <c r="G314" t="inlineStr">
        <is>
          <t>BBC</t>
        </is>
      </c>
      <c r="H314" t="inlineStr">
        <is>
          <t>JIMMY 'BARBECUE', O EX-POLICIAL QUE VIROU CRIMINOSO PROMETENDO 'REVOLUÇÃO' NO HAITI</t>
        </is>
      </c>
      <c r="I314" t="inlineStr">
        <is>
          <t>EX-AGENTE É APONTADO COMO RESPONSÁVEL POR UM DOS MAIORES MASSACRES DA HISTÓRIA RECENTE DO PAÍS</t>
        </is>
      </c>
      <c r="J314">
        <f>HYPERLINK("https://g1.globo.com/mundo/noticia/2021/12/07/jimmy-barbecue-o-ex-policial-que-virou-criminoso-prometendo-revolucao-no-haiti.ghtml", "URL")</f>
        <v/>
      </c>
      <c r="K314">
        <f>HYPERLINK("https://raw.githubusercontent.com/marcosmapl/dataset_imigrantes/main/noticias_filtered/g1/haitianos/2021/11_dez/html/g1_8634e9d6-231d-11ed-b24f-6dbe51e79fca_3506.html", "HTML")</f>
        <v/>
      </c>
      <c r="L314">
        <f>HYPERLINK("https://raw.githubusercontent.com/marcosmapl/dataset_imigrantes/main/noticias_filtered/g1/haitianos/2021/11_dez/txt/g1_8634e9d6-231d-11ed-b24f-6dbe51e79fca_3506.txt", "TXT")</f>
        <v/>
      </c>
    </row>
    <row r="315">
      <c r="A315" s="1" t="n">
        <v>313</v>
      </c>
      <c r="B315" t="n">
        <v>2021</v>
      </c>
      <c r="C315" s="2" t="n">
        <v>44536.98185039352</v>
      </c>
      <c r="D315" t="inlineStr">
        <is>
          <t>G1</t>
        </is>
      </c>
      <c r="E315" t="inlineStr">
        <is>
          <t>VENEZUELANOS</t>
        </is>
      </c>
      <c r="F315" t="inlineStr">
        <is>
          <t>MINAS GERAIS</t>
        </is>
      </c>
      <c r="G315" t="inlineStr">
        <is>
          <t>MARIA LÚCIA GONTIJO, G1 MINAS — BELO HORIZONTE</t>
        </is>
      </c>
      <c r="H315" t="inlineStr">
        <is>
          <t>APÓS DENÚNCIA EM ABRIGO, INDÍGENAS VENEZUELANOS SÃO TRANSFERIDOS PARA UNIDADE DE SAÚDE EM BH</t>
        </is>
      </c>
      <c r="I315" t="inlineStr">
        <is>
          <t>UM GRUPO COM 74 PESSOAS CHEGOU A BELO HORIZONTE NO DIA 28 DE SETEMBRO. UMA CRIANÇA MORREU DE COVID-19 ENQUANTO ELES ERAM ABRIGADOS NO ABRIGO SÃO PAULO.</t>
        </is>
      </c>
      <c r="J315">
        <f>HYPERLINK("https://g1.globo.com/mg/minas-gerais/noticia/2021/12/06/apos-denuncia-em-abrigo-indigenas-venezuelanos-sao-transferidos-para-unidade-de-saude-em-bh.ghtml", "URL")</f>
        <v/>
      </c>
      <c r="K315">
        <f>HYPERLINK("https://raw.githubusercontent.com/marcosmapl/dataset_imigrantes/main/noticias_filtered/g1/venezuelanos/2021/11_dez/html/g1_49769474-231b-11ed-b24f-6dbe51e79fca_3376.html", "HTML")</f>
        <v/>
      </c>
      <c r="L315">
        <f>HYPERLINK("https://raw.githubusercontent.com/marcosmapl/dataset_imigrantes/main/noticias_filtered/g1/venezuelanos/2021/11_dez/txt/g1_49769474-231b-11ed-b24f-6dbe51e79fca_3376.txt", "TXT")</f>
        <v/>
      </c>
    </row>
    <row r="316">
      <c r="A316" s="1" t="n">
        <v>314</v>
      </c>
      <c r="B316" t="n">
        <v>2021</v>
      </c>
      <c r="C316" s="2" t="n">
        <v>44536.52271068287</v>
      </c>
      <c r="D316" t="inlineStr">
        <is>
          <t>G1</t>
        </is>
      </c>
      <c r="E316" t="inlineStr">
        <is>
          <t>HAITIANOS</t>
        </is>
      </c>
      <c r="F316" t="inlineStr">
        <is>
          <t>SÃO JOSÉ DO RIO PRETO E ARAÇATUBA</t>
        </is>
      </c>
      <c r="G316" t="inlineStr">
        <is>
          <t>G1 RIO PRETO E ARAÇATUBA</t>
        </is>
      </c>
      <c r="H316" t="inlineStr">
        <is>
          <t>HOMEM MORRE APÓS SE AFOGAR EM CÓRREGO DE ARAÇATUBA</t>
        </is>
      </c>
      <c r="I316" t="inlineStr">
        <is>
          <t>HAITIANO MAKENDY CHARLES, DE 30 ANOS, NADAVA COM A ESPOSA E AMIGOS QUANDO SE AFOGOU NO CÓRREGO; ELE MORREU NO LOCAL.</t>
        </is>
      </c>
      <c r="J316">
        <f>HYPERLINK("https://g1.globo.com/sp/sao-jose-do-rio-preto-aracatuba/noticia/2021/12/06/homem-morre-apos-se-afogar-em-corrego-de-aracatuba.ghtml", "URL")</f>
        <v/>
      </c>
      <c r="K316">
        <f>HYPERLINK("https://raw.githubusercontent.com/marcosmapl/dataset_imigrantes/main/noticias_filtered/g1/haitianos/2021/11_dez/html/g1_f3ec76e8-22f4-11ed-b24f-6dbe51e79fca_1922.html", "HTML")</f>
        <v/>
      </c>
      <c r="L316">
        <f>HYPERLINK("https://raw.githubusercontent.com/marcosmapl/dataset_imigrantes/main/noticias_filtered/g1/haitianos/2021/11_dez/txt/g1_f3ec76e8-22f4-11ed-b24f-6dbe51e79fca_1922.txt", "TXT")</f>
        <v/>
      </c>
    </row>
    <row r="317">
      <c r="A317" s="1" t="n">
        <v>315</v>
      </c>
      <c r="B317" t="n">
        <v>2021</v>
      </c>
      <c r="C317" s="2" t="n">
        <v>44534.77083971065</v>
      </c>
      <c r="D317" t="inlineStr">
        <is>
          <t>G1</t>
        </is>
      </c>
      <c r="E317" t="inlineStr">
        <is>
          <t>HAITIANOS</t>
        </is>
      </c>
      <c r="F317" t="inlineStr">
        <is>
          <t>PERNAMBUCO</t>
        </is>
      </c>
      <c r="G317" t="inlineStr">
        <is>
          <t>G1 PE</t>
        </is>
      </c>
      <c r="H317" t="inlineStr">
        <is>
          <t>RECIFE RECEBE MOSTRA DE FILMES AFRICANOS CLÁSSICOS E CONTEMPORÂNEOS</t>
        </is>
      </c>
      <c r="I317" t="inlineStr">
        <is>
          <t>PROGRAMAÇÃO DO BAOBÁCINE ACONTECE DE SEGUNDA (6) ATÉ A QUARTA-FEIRA (8), NO CINETEATRO DO PARQUE. INGRESSOS CUSTAM R$ 3 (MEIA) E R$ 6 (INTEIRA).</t>
        </is>
      </c>
      <c r="J317">
        <f>HYPERLINK("https://g1.globo.com/pe/pernambuco/noticia/2021/12/04/recife-recebe-mostra-de-filmes-africanos-classicos-e-contemporaneos.ghtml", "URL")</f>
        <v/>
      </c>
      <c r="K317">
        <f>HYPERLINK("https://raw.githubusercontent.com/marcosmapl/dataset_imigrantes/main/noticias_filtered/g1/haitianos/2021/11_dez/html/g1_ef947ee6-230e-11ed-b24f-6dbe51e79fca_2767.html", "HTML")</f>
        <v/>
      </c>
      <c r="L317">
        <f>HYPERLINK("https://raw.githubusercontent.com/marcosmapl/dataset_imigrantes/main/noticias_filtered/g1/haitianos/2021/11_dez/txt/g1_ef947ee6-230e-11ed-b24f-6dbe51e79fca_2767.txt", "TXT")</f>
        <v/>
      </c>
    </row>
    <row r="318">
      <c r="A318" s="1" t="n">
        <v>316</v>
      </c>
      <c r="B318" t="n">
        <v>2021</v>
      </c>
      <c r="C318" s="2" t="n">
        <v>44534.56263689815</v>
      </c>
      <c r="D318" t="inlineStr">
        <is>
          <t>G1</t>
        </is>
      </c>
      <c r="E318" t="inlineStr">
        <is>
          <t>VENEZUELANOS</t>
        </is>
      </c>
      <c r="F318" t="inlineStr">
        <is>
          <t>RORAIMA</t>
        </is>
      </c>
      <c r="G318" t="inlineStr">
        <is>
          <t>G1 RR — BOA VISTA</t>
        </is>
      </c>
      <c r="H318" t="inlineStr">
        <is>
          <t>OPERAÇÃO ACOLHIDA APURA CASO DE MILITAR QUE IMOBILIZOU VENEZUELANO PRÓXIMO A ÁREA DE RECEPÇÃO; VÍDEO</t>
        </is>
      </c>
      <c r="I318" t="inlineStr">
        <is>
          <t>SEGUNDO A OPERAÇÃO ACOLHIDA, VENEZUELANO TENTOU FAZER UMA "ENTRADA FORÇADA" NA ÁREA DE ATENDIMENTO DO POSTO DE RECEPÇÃO E IDENTIFICAÇÃO. CASO ACONTECEU NESSA SEXTA-FEIRA (3), EM PACARAIMA.</t>
        </is>
      </c>
      <c r="J318">
        <f>HYPERLINK("https://g1.globo.com/rr/roraima/noticia/2021/12/04/operacao-acolhida-apura-caso-de-militar-que-imobilizou-venezuelano-proximo-a-area-de-recepcao-video.ghtml", "URL")</f>
        <v/>
      </c>
      <c r="K318">
        <f>HYPERLINK("https://raw.githubusercontent.com/marcosmapl/dataset_imigrantes/main/noticias_filtered/g1/venezuelanos/2021/11_dez/html/g1_e78ac5aa-2329-11ed-b24f-6dbe51e79fca_4146.html", "HTML")</f>
        <v/>
      </c>
      <c r="L318">
        <f>HYPERLINK("https://raw.githubusercontent.com/marcosmapl/dataset_imigrantes/main/noticias_filtered/g1/venezuelanos/2021/11_dez/txt/g1_e78ac5aa-2329-11ed-b24f-6dbe51e79fca_4146.txt", "TXT")</f>
        <v/>
      </c>
    </row>
    <row r="319">
      <c r="A319" s="1" t="n">
        <v>317</v>
      </c>
      <c r="B319" t="n">
        <v>2021</v>
      </c>
      <c r="C319" s="2" t="n">
        <v>44533.75858796296</v>
      </c>
      <c r="D319" t="inlineStr">
        <is>
          <t>A CRITICA</t>
        </is>
      </c>
      <c r="E319" t="inlineStr">
        <is>
          <t>VENEZUELANOS</t>
        </is>
      </c>
      <c r="F319" t="inlineStr"/>
      <c r="G319" t="inlineStr">
        <is>
          <t>PORTAL A CRÍTICA</t>
        </is>
      </c>
      <c r="H319" t="inlineStr">
        <is>
          <t>FLUXO MIGRATÓRIO EM SÃO GABRIEL DA CACHOEIRA ACENDE ALERTA PARA NOVA PORTA DE ENTRADA DE ESTRANGEIROS NO BRASIL</t>
        </is>
      </c>
      <c r="I319" t="inlineStr">
        <is>
          <t>INSTITUIÇÕES ESTIVERAM NO MUNICÍPIO PARA TRAÇAR DIAGNÓSTICO DO CENÁRIO ATUAL E IDENTIFICAR PRINCIPAIS DIFICULDADES DE ESTRANGEIROS PARA ENTRAR E SE REGULARIZAR NO PAÍS</t>
        </is>
      </c>
      <c r="J319">
        <f>HYPERLINK("https://www.acritica.com/fluxo-migratorio-em-s-o-gabriel-da-cachoeira-acende-alerta-para-nova-porta-de-entrada-de-estrangeiros-no-brasil-1.4507", "URL")</f>
        <v/>
      </c>
      <c r="K319">
        <f>HYPERLINK("https://raw.githubusercontent.com/marcosmapl/dataset_imigrantes/main/noticias_filtered/a_critica/venezuelanos/2021/11_dez/html/1.4507_922.html", "HTML")</f>
        <v/>
      </c>
      <c r="L319">
        <f>HYPERLINK("https://raw.githubusercontent.com/marcosmapl/dataset_imigrantes/main/noticias_filtered/a_critica/venezuelanos/2021/11_dez/txt/1.4507_922.txt", "TXT")</f>
        <v/>
      </c>
    </row>
    <row r="320">
      <c r="A320" s="1" t="n">
        <v>318</v>
      </c>
      <c r="B320" t="n">
        <v>2021</v>
      </c>
      <c r="C320" s="2" t="n">
        <v>44533.60040336806</v>
      </c>
      <c r="D320" t="inlineStr">
        <is>
          <t>G1</t>
        </is>
      </c>
      <c r="E320" t="inlineStr">
        <is>
          <t>HAITIANOS</t>
        </is>
      </c>
      <c r="F320" t="inlineStr">
        <is>
          <t>MATO GROSSO DO SUL</t>
        </is>
      </c>
      <c r="G320" t="inlineStr">
        <is>
          <t>G1 MS</t>
        </is>
      </c>
      <c r="H320" t="inlineStr">
        <is>
          <t>PF DESARTICULA GRUPO DE ‘COIOTES’ QUE FACILITAVAM A SAÍDA ILEGAL DE HAITIANOS DO BRASIL PELA FRONTEIRA COM A BOLÍVIA</t>
        </is>
      </c>
      <c r="I320" t="inlineStr">
        <is>
          <t>CINCO PESSOAS SUSPEITAS DE PARTICIPAREM DO GRUPO DE “COIOTES” FORAM PRESAS.</t>
        </is>
      </c>
      <c r="J320">
        <f>HYPERLINK("https://g1.globo.com/ms/mato-grosso-do-sul/noticia/2021/12/03/pf-desarticula-grupo-de-coiotes-que-facilitavam-a-saida-ilegal-de-haitianos-do-brasil-pela-fronteira-com-a-bolivia.ghtml", "URL")</f>
        <v/>
      </c>
      <c r="K320">
        <f>HYPERLINK("https://raw.githubusercontent.com/marcosmapl/dataset_imigrantes/main/noticias_filtered/g1/haitianos/2021/11_dez/html/g1_ebc45db8-22f5-11ed-b24f-6dbe51e79fca_1981.html", "HTML")</f>
        <v/>
      </c>
      <c r="L320">
        <f>HYPERLINK("https://raw.githubusercontent.com/marcosmapl/dataset_imigrantes/main/noticias_filtered/g1/haitianos/2021/11_dez/txt/g1_ebc45db8-22f5-11ed-b24f-6dbe51e79fca_1981.txt", "TXT")</f>
        <v/>
      </c>
    </row>
    <row r="321">
      <c r="A321" s="1" t="n">
        <v>319</v>
      </c>
      <c r="B321" t="n">
        <v>2021</v>
      </c>
      <c r="C321" s="2" t="n">
        <v>44532.85466274306</v>
      </c>
      <c r="D321" t="inlineStr">
        <is>
          <t>G1</t>
        </is>
      </c>
      <c r="E321" t="inlineStr">
        <is>
          <t>VENEZUELANOS</t>
        </is>
      </c>
      <c r="F321" t="inlineStr">
        <is>
          <t>TRIÂNGULO E ALTO PARANAÍBA</t>
        </is>
      </c>
      <c r="G321" t="inlineStr">
        <is>
          <t>G1 TRIÂNGULO E ALTO PARANAÍBA — UBERABA</t>
        </is>
      </c>
      <c r="H321" t="inlineStr">
        <is>
          <t>IMÓVEL DE INDÍGENAS VENEZUELANOS É VISTORIADO PELA PREFEITURA E PELA POLÍCIA FEDERAL EM UBERABA</t>
        </is>
      </c>
      <c r="I321" t="inlineStr">
        <is>
          <t>CONFORME VERIFICADO PELA POLÍCIA, A MAIORIA ESTÁ EM SITUAÇÃO REGULAR; AÇÃO OCORREU APÓS REUNIÃO SOBRE O ATENDIMENTO A ESTRANGEIROS.</t>
        </is>
      </c>
      <c r="J321">
        <f>HYPERLINK("https://g1.globo.com/mg/triangulo-mineiro/noticia/2021/12/02/imovel-de-indigenas-venezuelanos-e-vistoriado-pela-prefeitura-e-pela-policia-federal-em-uberaba.ghtml", "URL")</f>
        <v/>
      </c>
      <c r="K321">
        <f>HYPERLINK("https://raw.githubusercontent.com/marcosmapl/dataset_imigrantes/main/noticias_filtered/g1/venezuelanos/2021/11_dez/html/g1_19f1c326-2317-11ed-b24f-6dbe51e79fca_3186.html", "HTML")</f>
        <v/>
      </c>
      <c r="L321">
        <f>HYPERLINK("https://raw.githubusercontent.com/marcosmapl/dataset_imigrantes/main/noticias_filtered/g1/venezuelanos/2021/11_dez/txt/g1_19f1c326-2317-11ed-b24f-6dbe51e79fca_3186.txt", "TXT")</f>
        <v/>
      </c>
    </row>
    <row r="322">
      <c r="A322" s="1" t="n">
        <v>320</v>
      </c>
      <c r="B322" t="n">
        <v>2021</v>
      </c>
      <c r="C322" s="2" t="n">
        <v>44532.80342592593</v>
      </c>
      <c r="D322" t="inlineStr">
        <is>
          <t>A CRITICA</t>
        </is>
      </c>
      <c r="E322" t="inlineStr">
        <is>
          <t>VENEZUELANOS</t>
        </is>
      </c>
      <c r="F322" t="inlineStr"/>
      <c r="G322" t="inlineStr">
        <is>
          <t>PORTAL A CRÍTICA</t>
        </is>
      </c>
      <c r="H322" t="inlineStr">
        <is>
          <t>DPU AJUÍZA AÇÃO PARA GARANTIR EMISSÃO DE CPF A MIGRANTES</t>
        </is>
      </c>
      <c r="I322" t="inlineStr">
        <is>
          <t>DOCUMENTO DÁ ACESSO A SERVIÇOS BÁSICOS COMO SAÚDE, EDUCAÇÃO E ASSISTÊNCIA SOCIAL</t>
        </is>
      </c>
      <c r="J322">
        <f>HYPERLINK("https://www.acritica.com/dpu-ajuiza-ac-o-para-garantir-emiss-o-de-cpf-a-migrantes-1.4060", "URL")</f>
        <v/>
      </c>
      <c r="K322">
        <f>HYPERLINK("https://raw.githubusercontent.com/marcosmapl/dataset_imigrantes/main/noticias_filtered/a_critica/venezuelanos/2021/11_dez/html/1.4060_106.html", "HTML")</f>
        <v/>
      </c>
      <c r="L322">
        <f>HYPERLINK("https://raw.githubusercontent.com/marcosmapl/dataset_imigrantes/main/noticias_filtered/a_critica/venezuelanos/2021/11_dez/txt/1.4060_106.txt", "TXT")</f>
        <v/>
      </c>
    </row>
    <row r="323">
      <c r="A323" s="1" t="n">
        <v>321</v>
      </c>
      <c r="B323" t="n">
        <v>2021</v>
      </c>
      <c r="C323" s="2" t="n">
        <v>44532.47653137732</v>
      </c>
      <c r="D323" t="inlineStr">
        <is>
          <t>G1</t>
        </is>
      </c>
      <c r="E323" t="inlineStr">
        <is>
          <t>VENEZUELANOS</t>
        </is>
      </c>
      <c r="F323" t="inlineStr">
        <is>
          <t>PARAÍBA</t>
        </is>
      </c>
      <c r="G323" t="inlineStr">
        <is>
          <t>ANA BEATRIZ ROCHA*, G1 PB</t>
        </is>
      </c>
      <c r="H323" t="inlineStr">
        <is>
          <t>VENEZUELANOS QUE MORAVAM NA COMUNIDADE DUBAI BUSCAVAM VIDA MELHOR NO BRASIL: 'SINTO QUE PERDI O POUCO QUE TINHA'</t>
        </is>
      </c>
      <c r="I323" t="inlineStr">
        <is>
          <t>COMUNIDADE ATINGIDA POR AÇÃO DE DESOCUPAÇÃO NO ÚLTIMO DIA 23 DE NOVEMBRO ERA ABRIGO DE MAIS DE 40 FAMÍLIAS VENEZUELANAS.</t>
        </is>
      </c>
      <c r="J323">
        <f>HYPERLINK("https://g1.globo.com/pb/paraiba/noticia/2021/12/02/venezuelanos-que-moravam-na-comunidade-dubai-buscavam-vida-melhor-no-brasil-sinto-que-perdi-o-pouco-que-tinha.ghtml", "URL")</f>
        <v/>
      </c>
      <c r="K323">
        <f>HYPERLINK("https://raw.githubusercontent.com/marcosmapl/dataset_imigrantes/main/noticias_filtered/g1/venezuelanos/2021/11_dez/html/g1_65668a4a-2307-11ed-b24f-6dbe51e79fca_2315.html", "HTML")</f>
        <v/>
      </c>
      <c r="L323">
        <f>HYPERLINK("https://raw.githubusercontent.com/marcosmapl/dataset_imigrantes/main/noticias_filtered/g1/venezuelanos/2021/11_dez/txt/g1_65668a4a-2307-11ed-b24f-6dbe51e79fca_2315.txt", "TXT")</f>
        <v/>
      </c>
    </row>
    <row r="324">
      <c r="A324" s="1" t="n">
        <v>322</v>
      </c>
      <c r="B324" t="n">
        <v>2021</v>
      </c>
      <c r="C324" s="2" t="n">
        <v>44528.53010416667</v>
      </c>
      <c r="D324" t="inlineStr">
        <is>
          <t>A CRITICA</t>
        </is>
      </c>
      <c r="E324" t="inlineStr">
        <is>
          <t>VENEZUELANOS</t>
        </is>
      </c>
      <c r="F324" t="inlineStr">
        <is>
          <t>MANAUS</t>
        </is>
      </c>
      <c r="G324" t="inlineStr">
        <is>
          <t>WALDICK JÚNIOR</t>
        </is>
      </c>
      <c r="H324" t="inlineStr">
        <is>
          <t>'O BRASIL E OS ESTADOS UNIDOS TÊM UMA HISTÓRIA MUITO LONGA DE PARCERIA EM SEGURANÇA'</t>
        </is>
      </c>
      <c r="I324" t="inlineStr">
        <is>
          <t>GENERAL QUATRO ESTRELAS DO COMANDO SUL DOS ESTADOS UNIDOS, LAURA J.  RICHARDSON É A PRIMEIRA MULHER NA CHEFIA, UM DOS POSTOS MAIS IMPORTANTES DAS FORÇAS DO PAÍS NORTE-AMERICANO</t>
        </is>
      </c>
      <c r="J324">
        <f>HYPERLINK("https://www.acritica.com/manaus/o-brasil-e-os-estados-unidos-tem-uma-historia-muito-longa-de-parceria-em-seguranca-1.4838", "URL")</f>
        <v/>
      </c>
      <c r="K324">
        <f>HYPERLINK("https://raw.githubusercontent.com/marcosmapl/dataset_imigrantes/main/noticias_filtered/a_critica/venezuelanos/2021/10_nov/html/1.4838_442.html", "HTML")</f>
        <v/>
      </c>
      <c r="L324">
        <f>HYPERLINK("https://raw.githubusercontent.com/marcosmapl/dataset_imigrantes/main/noticias_filtered/a_critica/venezuelanos/2021/10_nov/txt/1.4838_442.txt", "TXT")</f>
        <v/>
      </c>
    </row>
    <row r="325">
      <c r="A325" s="1" t="n">
        <v>323</v>
      </c>
      <c r="B325" t="n">
        <v>2021</v>
      </c>
      <c r="C325" s="2" t="n">
        <v>44527.69808436342</v>
      </c>
      <c r="D325" t="inlineStr">
        <is>
          <t>G1</t>
        </is>
      </c>
      <c r="E325" t="inlineStr">
        <is>
          <t>VENEZUELANOS</t>
        </is>
      </c>
      <c r="F325" t="inlineStr">
        <is>
          <t>RORAIMA</t>
        </is>
      </c>
      <c r="G325" t="inlineStr">
        <is>
          <t>G1 RR — BOA VISTA</t>
        </is>
      </c>
      <c r="H325" t="inlineStr">
        <is>
          <t>VENEZUELANAS BRIGAM EM POSTO DA OPERAÇÃO ACOLHIDA EM BOA VISTA E SÃO EXPULSAS; VÍDEO</t>
        </is>
      </c>
      <c r="I325" t="inlineStr">
        <is>
          <t>CASO OCORREU EM 25 DE OUTUBRO DESSE ANO, NO POSTO DE RECEPÇÃO E APOIO PRÓXIMO À RODOVIÁRIA DE BOA VISTA. VÍDEO PASSOU A CIRCULAR NESTA SEMANA. POLÍCIA CIVIL DIZ QUE VAI INVESTIGAR.</t>
        </is>
      </c>
      <c r="J325">
        <f>HYPERLINK("https://g1.globo.com/rr/roraima/noticia/2021/11/27/venezuelanas-brigam-em-posto-da-operacao-acolhida-em-boa-vista-e-sao-expulsas-video.ghtml", "URL")</f>
        <v/>
      </c>
      <c r="K325">
        <f>HYPERLINK("https://raw.githubusercontent.com/marcosmapl/dataset_imigrantes/main/noticias_filtered/g1/venezuelanos/2021/10_nov/html/g1_3c1e2f4a-2329-11ed-b24f-6dbe51e79fca_4104.html", "HTML")</f>
        <v/>
      </c>
      <c r="L325">
        <f>HYPERLINK("https://raw.githubusercontent.com/marcosmapl/dataset_imigrantes/main/noticias_filtered/g1/venezuelanos/2021/10_nov/txt/g1_3c1e2f4a-2329-11ed-b24f-6dbe51e79fca_4104.txt", "TXT")</f>
        <v/>
      </c>
    </row>
    <row r="326">
      <c r="A326" s="1" t="n">
        <v>324</v>
      </c>
      <c r="B326" t="n">
        <v>2021</v>
      </c>
      <c r="C326" s="2" t="n">
        <v>44526.65318703704</v>
      </c>
      <c r="D326" t="inlineStr">
        <is>
          <t>G1</t>
        </is>
      </c>
      <c r="E326" t="inlineStr">
        <is>
          <t>VENEZUELANOS</t>
        </is>
      </c>
      <c r="F326" t="inlineStr">
        <is>
          <t>RORAIMA</t>
        </is>
      </c>
      <c r="G326" t="inlineStr">
        <is>
          <t>CAÍQUE RODRIGUES, G1 RR — PACARAIMA</t>
        </is>
      </c>
      <c r="H326" t="inlineStr">
        <is>
          <t>LOCAIS USADOS COMO ABRIGOS POR VENEZUELANOS FICAM VAZIOS APÓS PROTESTO E MORTE DE COMERCIANTE EM PACARAIMA</t>
        </is>
      </c>
      <c r="I326" t="inlineStr">
        <is>
          <t>ÚNICO MOVIMENTO REGISTRADO EM PACARAIMA É EM FRENTE AO POSTO DE TRIAGEM DA OPERAÇÃO ACOLHIDA, ONDE MIGRANTES AGUARDAM NA RUA, PORÉM, ATRÁS DE GRADES DE SEGURANÇA INSTALADAS NA RUA.</t>
        </is>
      </c>
      <c r="J326">
        <f>HYPERLINK("https://g1.globo.com/rr/roraima/noticia/2021/11/26/venezuelanos-somem-das-ruas-de-pacaraima-e-policiamento-e-reforcado-apos-dia-de-protesto-causado-por-morte-de-comerciante.ghtml", "URL")</f>
        <v/>
      </c>
      <c r="K326">
        <f>HYPERLINK("https://raw.githubusercontent.com/marcosmapl/dataset_imigrantes/main/noticias_filtered/g1/venezuelanos/2021/10_nov/html/g1_219d0694-230d-11ed-b24f-6dbe51e79fca_2668.html", "HTML")</f>
        <v/>
      </c>
      <c r="L326">
        <f>HYPERLINK("https://raw.githubusercontent.com/marcosmapl/dataset_imigrantes/main/noticias_filtered/g1/venezuelanos/2021/10_nov/txt/g1_219d0694-230d-11ed-b24f-6dbe51e79fca_2668.txt", "TXT")</f>
        <v/>
      </c>
    </row>
    <row r="327">
      <c r="A327" s="1" t="n">
        <v>325</v>
      </c>
      <c r="B327" t="n">
        <v>2021</v>
      </c>
      <c r="C327" s="2" t="n">
        <v>44525.86095013889</v>
      </c>
      <c r="D327" t="inlineStr">
        <is>
          <t>G1</t>
        </is>
      </c>
      <c r="E327" t="inlineStr">
        <is>
          <t>VENEZUELANOS</t>
        </is>
      </c>
      <c r="F327" t="inlineStr">
        <is>
          <t>RORAIMA</t>
        </is>
      </c>
      <c r="G327" t="inlineStr">
        <is>
          <t>G1 RR — BOA VISTA</t>
        </is>
      </c>
      <c r="H327" t="inlineStr">
        <is>
          <t>APÓS MORTE DE COMERCIANTE EM ASSALTO, PACARAIMA REGISTRA TENSÃO E DISPARO DE FOGOS DE ARTIFÍCIO CONTRA VENEZUELANOS</t>
        </is>
      </c>
      <c r="I327" t="inlineStr">
        <is>
          <t>MORADORES FAZEM PROTESTO PELAS RUAS DA CIDADE. POLÍCIA MILITAR ENVIOU REFORÇO AO MUNICÍPIO PARA EVITAR "QUEBRA DA ORDEM".</t>
        </is>
      </c>
      <c r="J327">
        <f>HYPERLINK("https://g1.globo.com/rr/roraima/noticia/2021/11/25/apos-morte-de-comerciante-em-assalto-pacaraima-registra-tensao-e-disparo-de-fogos-de-artificio-contra-venezuelanos.ghtml", "URL")</f>
        <v/>
      </c>
      <c r="K327">
        <f>HYPERLINK("https://raw.githubusercontent.com/marcosmapl/dataset_imigrantes/main/noticias_filtered/g1/venezuelanos/2021/10_nov/html/g1_9e3b15e4-2324-11ed-b24f-6dbe51e79fca_3880.html", "HTML")</f>
        <v/>
      </c>
      <c r="L327">
        <f>HYPERLINK("https://raw.githubusercontent.com/marcosmapl/dataset_imigrantes/main/noticias_filtered/g1/venezuelanos/2021/10_nov/txt/g1_9e3b15e4-2324-11ed-b24f-6dbe51e79fca_3880.txt", "TXT")</f>
        <v/>
      </c>
    </row>
    <row r="328">
      <c r="A328" s="1" t="n">
        <v>326</v>
      </c>
      <c r="B328" t="n">
        <v>2021</v>
      </c>
      <c r="C328" s="2" t="n">
        <v>44524.37549256944</v>
      </c>
      <c r="D328" t="inlineStr">
        <is>
          <t>G1</t>
        </is>
      </c>
      <c r="E328" t="inlineStr">
        <is>
          <t>VENEZUELANOS</t>
        </is>
      </c>
      <c r="F328" t="inlineStr">
        <is>
          <t>OLHA QUE LEGAL</t>
        </is>
      </c>
      <c r="G328" t="inlineStr">
        <is>
          <t>PATRÍCIA VILAS BOAS, REUTERS</t>
        </is>
      </c>
      <c r="H328" t="inlineStr">
        <is>
          <t>É MÁGICO: CANOS DE PVC SE TRANSFORMAM EM VIOLINOS EM PROJETO EM SP</t>
        </is>
      </c>
      <c r="I328" t="inlineStr">
        <is>
          <t>PROJETO LOCOMOTIVA, INSPIRADO EM UMA INICIATIVA VENEZUELANA DE 1975, OFERECE AULAS GRATUITAS DE MÚSICA PARA CRIANÇAS E ADOLESCENTES DE BAIXA RENDA DA REGIÃO DO GRANDE ABC.</t>
        </is>
      </c>
      <c r="J328">
        <f>HYPERLINK("https://g1.globo.com/olha-que-legal/noticia/2021/11/24/e-magico-canos-de-pvc-se-transformam-em-violinos-em-projeto-em-sp.ghtml", "URL")</f>
        <v/>
      </c>
      <c r="K328">
        <f>HYPERLINK("https://raw.githubusercontent.com/marcosmapl/dataset_imigrantes/main/noticias_filtered/g1/venezuelanos/2021/10_nov/html/g1_683733ea-231c-11ed-b24f-6dbe51e79fca_3444.html", "HTML")</f>
        <v/>
      </c>
      <c r="L328">
        <f>HYPERLINK("https://raw.githubusercontent.com/marcosmapl/dataset_imigrantes/main/noticias_filtered/g1/venezuelanos/2021/10_nov/txt/g1_683733ea-231c-11ed-b24f-6dbe51e79fca_3444.txt", "TXT")</f>
        <v/>
      </c>
    </row>
    <row r="329">
      <c r="A329" s="1" t="n">
        <v>327</v>
      </c>
      <c r="B329" t="n">
        <v>2021</v>
      </c>
      <c r="C329" s="2" t="n">
        <v>44523.62664631945</v>
      </c>
      <c r="D329" t="inlineStr">
        <is>
          <t>G1</t>
        </is>
      </c>
      <c r="E329" t="inlineStr">
        <is>
          <t>VENEZUELANOS</t>
        </is>
      </c>
      <c r="F329" t="inlineStr">
        <is>
          <t>PIAUÍ</t>
        </is>
      </c>
      <c r="G329" t="inlineStr">
        <is>
          <t>LAYZA MOURÃO*, G1 PI</t>
        </is>
      </c>
      <c r="H329" t="inlineStr">
        <is>
          <t>CONSELHO TUTELAR RESGATA TRÊS CRIANÇAS VENEZUELANAS EM SITUAÇÃO DE MENDICÂNCIA NAS RUAS DE TERESINA</t>
        </is>
      </c>
      <c r="I329" t="inlineStr">
        <is>
          <t>AS CRIANÇAS FORAM RECOLHIDAS APÓS DENÚNCIAS RECEBIDAS PELO CONSELHO TUTELAR.</t>
        </is>
      </c>
      <c r="J329">
        <f>HYPERLINK("https://g1.globo.com/pi/piaui/noticia/2021/11/23/conselho-tutelar-resgata-tres-criancas-venezuelanas-em-situacao-de-mendicancia-nas-ruas-de-teresina.ghtml", "URL")</f>
        <v/>
      </c>
      <c r="K329">
        <f>HYPERLINK("https://raw.githubusercontent.com/marcosmapl/dataset_imigrantes/main/noticias_filtered/g1/venezuelanos/2021/10_nov/html/g1_cfc8e2da-231f-11ed-b24f-6dbe51e79fca_3645.html", "HTML")</f>
        <v/>
      </c>
      <c r="L329">
        <f>HYPERLINK("https://raw.githubusercontent.com/marcosmapl/dataset_imigrantes/main/noticias_filtered/g1/venezuelanos/2021/10_nov/txt/g1_cfc8e2da-231f-11ed-b24f-6dbe51e79fca_3645.txt", "TXT")</f>
        <v/>
      </c>
    </row>
    <row r="330">
      <c r="A330" s="1" t="n">
        <v>328</v>
      </c>
      <c r="B330" t="n">
        <v>2021</v>
      </c>
      <c r="C330" s="2" t="n">
        <v>44522.94558744213</v>
      </c>
      <c r="D330" t="inlineStr">
        <is>
          <t>G1</t>
        </is>
      </c>
      <c r="E330" t="inlineStr">
        <is>
          <t>VENEZUELANOS</t>
        </is>
      </c>
      <c r="F330" t="inlineStr">
        <is>
          <t>RIO GRANDE DO SUL</t>
        </is>
      </c>
      <c r="G330" t="inlineStr">
        <is>
          <t>JEFERSON AGEITOS, G1 RS E RBS TV</t>
        </is>
      </c>
      <c r="H330" t="inlineStr">
        <is>
          <t>MUTIRÃO DA POLÍCIA FEDERAL BUSCA REGULARIZAR QUASE 1 MIL IMIGRANTES QUE MORAM NO RS</t>
        </is>
      </c>
      <c r="I330" t="inlineStr">
        <is>
          <t>AÇÃO ACONTECE DESTA SEGUNDA (22) ATÉ SEXTA-FEIRA (26). PRINCIPAL NACIONALIDADE É VENEZUELANA, JÁ QUE, DE ACORDO COM O MINISTÉRIO DO DESENVOLVIMENTO SOCIAL, CERCA DE 9,1 MIL ENTRARAM NO RS ATÉ OUTUBRO.</t>
        </is>
      </c>
      <c r="J330">
        <f>HYPERLINK("https://g1.globo.com/rs/rio-grande-do-sul/noticia/2021/11/22/mutirao-da-policia-federal-busca-regularizar-quase-1-mil-imigrantes-que-moram-no-rs.ghtml", "URL")</f>
        <v/>
      </c>
      <c r="K330">
        <f>HYPERLINK("https://raw.githubusercontent.com/marcosmapl/dataset_imigrantes/main/noticias_filtered/g1/venezuelanos/2021/10_nov/html/g1_7eced7d6-2306-11ed-b24f-6dbe51e79fca_2261.html", "HTML")</f>
        <v/>
      </c>
      <c r="L330">
        <f>HYPERLINK("https://raw.githubusercontent.com/marcosmapl/dataset_imigrantes/main/noticias_filtered/g1/venezuelanos/2021/10_nov/txt/g1_7eced7d6-2306-11ed-b24f-6dbe51e79fca_2261.txt", "TXT")</f>
        <v/>
      </c>
    </row>
    <row r="331">
      <c r="A331" s="1" t="n">
        <v>329</v>
      </c>
      <c r="B331" t="n">
        <v>2021</v>
      </c>
      <c r="C331" s="2" t="n">
        <v>44522.93595020833</v>
      </c>
      <c r="D331" t="inlineStr">
        <is>
          <t>G1</t>
        </is>
      </c>
      <c r="E331" t="inlineStr">
        <is>
          <t>VENEZUELANOS</t>
        </is>
      </c>
      <c r="F331" t="inlineStr">
        <is>
          <t>MUNDO</t>
        </is>
      </c>
      <c r="G331" t="inlineStr">
        <is>
          <t>G1</t>
        </is>
      </c>
      <c r="H331" t="inlineStr">
        <is>
          <t>EUA DIZEM QUE ELEIÇÕES NA VENEZUELA 'NÃO REFLETEM A VONTADE DO POVO'</t>
        </is>
      </c>
      <c r="I331" t="inlineStr">
        <is>
          <t>COMPARECIMENTO ÀS URNAS FOI BAIXO EM VOTAÇÃO QUE DEU AO CHAVISMO 20 DOS 23 GOVERNADORES ESTADUAIS VENEZUELANOS.</t>
        </is>
      </c>
      <c r="J331">
        <f>HYPERLINK("https://g1.globo.com/mundo/noticia/2021/11/22/eua-dizem-que-eleicoes-na-venezuela-nao-refletem-a-vontade-do-povo.ghtml", "URL")</f>
        <v/>
      </c>
      <c r="K331">
        <f>HYPERLINK("https://raw.githubusercontent.com/marcosmapl/dataset_imigrantes/main/noticias_filtered/g1/venezuelanos/2021/10_nov/html/g1_ca540d54-2327-11ed-b24f-6dbe51e79fca_4048.html", "HTML")</f>
        <v/>
      </c>
      <c r="L331">
        <f>HYPERLINK("https://raw.githubusercontent.com/marcosmapl/dataset_imigrantes/main/noticias_filtered/g1/venezuelanos/2021/10_nov/txt/g1_ca540d54-2327-11ed-b24f-6dbe51e79fca_4048.txt", "TXT")</f>
        <v/>
      </c>
    </row>
    <row r="332">
      <c r="A332" s="1" t="n">
        <v>330</v>
      </c>
      <c r="B332" t="n">
        <v>2021</v>
      </c>
      <c r="C332" s="2" t="n">
        <v>44522.44462940972</v>
      </c>
      <c r="D332" t="inlineStr">
        <is>
          <t>G1</t>
        </is>
      </c>
      <c r="E332" t="inlineStr">
        <is>
          <t>HAITIANOS</t>
        </is>
      </c>
      <c r="F332" t="inlineStr">
        <is>
          <t>MUNDO</t>
        </is>
      </c>
      <c r="G332" t="inlineStr">
        <is>
          <t>G1</t>
        </is>
      </c>
      <c r="H332" t="inlineStr">
        <is>
          <t>LIBERTADOS 2 DOS 17 REFÉNS NORTE-AMERICANOS SEQUESTRADOS NO HAITI</t>
        </is>
      </c>
      <c r="I332" t="inlineStr">
        <is>
          <t>MISSIONÁRIOS FORAM SEQUESTRADOS QUANDO FORAM VISITAR UM ORFANATO NA CIDADE DE PORTO PRÍNCIPE. OS CRIMINOSOS EXIGEM UM RESGATE DE US$ 1 MILHÃO POR CADA UM DELES.</t>
        </is>
      </c>
      <c r="J332">
        <f>HYPERLINK("https://g1.globo.com/mundo/noticia/2021/11/22/libertados-2-dos-17-refens-norte-americanos-sequestrados-no-haiti.ghtml", "URL")</f>
        <v/>
      </c>
      <c r="K332">
        <f>HYPERLINK("https://raw.githubusercontent.com/marcosmapl/dataset_imigrantes/main/noticias_filtered/g1/haitianos/2021/10_nov/html/g1_e36a8d72-2318-11ed-b24f-6dbe51e79fca_3286.html", "HTML")</f>
        <v/>
      </c>
      <c r="L332">
        <f>HYPERLINK("https://raw.githubusercontent.com/marcosmapl/dataset_imigrantes/main/noticias_filtered/g1/haitianos/2021/10_nov/txt/g1_e36a8d72-2318-11ed-b24f-6dbe51e79fca_3286.txt", "TXT")</f>
        <v/>
      </c>
    </row>
    <row r="333">
      <c r="A333" s="1" t="n">
        <v>331</v>
      </c>
      <c r="B333" t="n">
        <v>2021</v>
      </c>
      <c r="C333" s="2" t="n">
        <v>44521.6875</v>
      </c>
      <c r="D333" t="inlineStr">
        <is>
          <t>A CRITICA</t>
        </is>
      </c>
      <c r="E333" t="inlineStr">
        <is>
          <t>VENEZUELANOS</t>
        </is>
      </c>
      <c r="F333" t="inlineStr">
        <is>
          <t>ENTRETENIMENTO</t>
        </is>
      </c>
      <c r="G333" t="inlineStr">
        <is>
          <t>PORTAL A CRÍTICA</t>
        </is>
      </c>
      <c r="H333" t="inlineStr">
        <is>
          <t>LIVRO REVELA A HISTÓRIA DOS REFUGIADOS VENEZUELANOS NA CAPITAL AMAZONENSE</t>
        </is>
      </c>
      <c r="I333" t="inlineStr">
        <is>
          <t>OBRA DO MÚSICO LUIS GONZALEZ, A SER LANÇADA NO DIA 27, CONTA VIVÊNCIAS DE SOFRIMENTO E EMPODERAMENTO DOS VENEZUELANOS EM MANAUS</t>
        </is>
      </c>
      <c r="J333">
        <f>HYPERLINK("https://www.acritica.com/entretenimento/livro-revela-a-historia-dos-refugiados-venezuelanos-na-capital-amazonense-1.5058", "URL")</f>
        <v/>
      </c>
      <c r="K333">
        <f>HYPERLINK("https://raw.githubusercontent.com/marcosmapl/dataset_imigrantes/main/noticias_filtered/a_critica/venezuelanos/2021/10_nov/html/1.5058_557.html", "HTML")</f>
        <v/>
      </c>
      <c r="L333">
        <f>HYPERLINK("https://raw.githubusercontent.com/marcosmapl/dataset_imigrantes/main/noticias_filtered/a_critica/venezuelanos/2021/10_nov/txt/1.5058_557.txt", "TXT")</f>
        <v/>
      </c>
    </row>
    <row r="334">
      <c r="A334" s="1" t="n">
        <v>332</v>
      </c>
      <c r="B334" t="n">
        <v>2021</v>
      </c>
      <c r="C334" s="2" t="n">
        <v>44521.65850795139</v>
      </c>
      <c r="D334" t="inlineStr">
        <is>
          <t>G1</t>
        </is>
      </c>
      <c r="E334" t="inlineStr">
        <is>
          <t>VENEZUELANOS</t>
        </is>
      </c>
      <c r="F334" t="inlineStr">
        <is>
          <t>PARAÍBA</t>
        </is>
      </c>
      <c r="G334" t="inlineStr">
        <is>
          <t>BRUNA CAIRO, G1 PB</t>
        </is>
      </c>
      <c r="H334" t="inlineStr">
        <is>
          <t>IRMÃS VENEZUELANAS FAZEM PROVAS DO ENEM NA PB E RELATAM DIFICULDADES PARA ESTUDAR: ‘FOI LUTA’</t>
        </is>
      </c>
      <c r="I334" t="inlineStr">
        <is>
          <t>LUZMARENE TRABALHA COMO DEPILADORA E LUZMAR COMO DOMÉSTICA, EM JOÃO PESSOA. PARA CONCILIAR ESTUDOS E TRABALHO, ELAS SE PREPARARAM PARA O EXAME NO TURNO DA NOITE.</t>
        </is>
      </c>
      <c r="J334">
        <f>HYPERLINK("https://g1.globo.com/pb/paraiba/la-vem-o-enem/2021/noticia/2021/11/21/irmas-venezuelanas-fazem-provas-do-enem-na-pb-e-relatam-dificuldades-para-estudar-foi-luta.ghtml", "URL")</f>
        <v/>
      </c>
      <c r="K334">
        <f>HYPERLINK("https://raw.githubusercontent.com/marcosmapl/dataset_imigrantes/main/noticias_filtered/g1/venezuelanos/2021/10_nov/html/g1_eb380122-2329-11ed-b24f-6dbe51e79fca_4147.html", "HTML")</f>
        <v/>
      </c>
      <c r="L334">
        <f>HYPERLINK("https://raw.githubusercontent.com/marcosmapl/dataset_imigrantes/main/noticias_filtered/g1/venezuelanos/2021/10_nov/txt/g1_eb380122-2329-11ed-b24f-6dbe51e79fca_4147.txt", "TXT")</f>
        <v/>
      </c>
    </row>
    <row r="335">
      <c r="A335" s="1" t="n">
        <v>333</v>
      </c>
      <c r="B335" t="n">
        <v>2021</v>
      </c>
      <c r="C335" s="2" t="n">
        <v>44521.51758010417</v>
      </c>
      <c r="D335" t="inlineStr">
        <is>
          <t>G1</t>
        </is>
      </c>
      <c r="E335" t="inlineStr">
        <is>
          <t>VENEZUELANOS</t>
        </is>
      </c>
      <c r="F335" t="inlineStr">
        <is>
          <t>MUNDO</t>
        </is>
      </c>
      <c r="G335" t="inlineStr">
        <is>
          <t>ASSOCIATED PRESS</t>
        </is>
      </c>
      <c r="H335" t="inlineStr">
        <is>
          <t>VENEZUELANOS VOTAM EM ELEIÇÕES REGIONAIS SOB O OLHAR DA COMUNIDADE INTERNACIONAL</t>
        </is>
      </c>
      <c r="I335" t="inlineStr">
        <is>
          <t>É A 1ª VEZ EM 4 ANOS QUE OS PRINCIPAIS PARTIDOS DA OPOSIÇÃO PARTICIPARÃO DE UMA ELEIÇÃO NA VENEZUELA, APÓS DIVERSOS PLEITOS TEREM SIDO BOICOTADOS EM MEIO A DENÚNCIAS DE FRAUDE.</t>
        </is>
      </c>
      <c r="J335">
        <f>HYPERLINK("https://g1.globo.com/mundo/noticia/2021/11/21/venezuelanos-votam-em-eleicoes-regionais-sob-o-olhar-da-comunidade-internacional.ghtml", "URL")</f>
        <v/>
      </c>
      <c r="K335">
        <f>HYPERLINK("https://raw.githubusercontent.com/marcosmapl/dataset_imigrantes/main/noticias_filtered/g1/venezuelanos/2021/10_nov/html/g1_17ac7ac8-2328-11ed-b24f-6dbe51e79fca_4064.html", "HTML")</f>
        <v/>
      </c>
      <c r="L335">
        <f>HYPERLINK("https://raw.githubusercontent.com/marcosmapl/dataset_imigrantes/main/noticias_filtered/g1/venezuelanos/2021/10_nov/txt/g1_17ac7ac8-2328-11ed-b24f-6dbe51e79fca_4064.txt", "TXT")</f>
        <v/>
      </c>
    </row>
    <row r="336">
      <c r="A336" s="1" t="n">
        <v>334</v>
      </c>
      <c r="B336" t="n">
        <v>2021</v>
      </c>
      <c r="C336" s="2" t="n">
        <v>44520.85968638889</v>
      </c>
      <c r="D336" t="inlineStr">
        <is>
          <t>G1</t>
        </is>
      </c>
      <c r="E336" t="inlineStr">
        <is>
          <t>VENEZUELANOS</t>
        </is>
      </c>
      <c r="F336" t="inlineStr">
        <is>
          <t>MUNDO</t>
        </is>
      </c>
      <c r="G336" t="inlineStr">
        <is>
          <t>RFI</t>
        </is>
      </c>
      <c r="H336" t="inlineStr">
        <is>
          <t>"ESTAMOS NO LIMBO HÁ DOIS ANOS", DIZEM ESTUDANTES NA VÉSPERA DAS ELEIÇÕES NA VENEZUELA</t>
        </is>
      </c>
      <c r="I336" t="inlineStr">
        <is>
          <t>VENEZUELANOS ELEGEM PREFEITOS, GOVERNADORES E CONSELHOS LOCAIS EM ELEIÇÃO NESTE DOMINGO (21) QUE CONTARÁ COM A PARTICIPAÇÃO DA OPOSIÇÃO, DEPOIS DE BOICOTAR PLEITOS DE 2018 E 2020.</t>
        </is>
      </c>
      <c r="J336">
        <f>HYPERLINK("https://g1.globo.com/mundo/noticia/2021/11/20/estamos-no-limbo-ha-dois-anos-dizem-estudantes-na-vespera-das-eleicoes-na-venezuela.ghtml", "URL")</f>
        <v/>
      </c>
      <c r="K336">
        <f>HYPERLINK("https://raw.githubusercontent.com/marcosmapl/dataset_imigrantes/main/noticias_filtered/g1/venezuelanos/2021/10_nov/html/g1_9eba5172-2326-11ed-b24f-6dbe51e79fca_3987.html", "HTML")</f>
        <v/>
      </c>
      <c r="L336">
        <f>HYPERLINK("https://raw.githubusercontent.com/marcosmapl/dataset_imigrantes/main/noticias_filtered/g1/venezuelanos/2021/10_nov/txt/g1_9eba5172-2326-11ed-b24f-6dbe51e79fca_3987.txt", "TXT")</f>
        <v/>
      </c>
    </row>
    <row r="337">
      <c r="A337" s="1" t="n">
        <v>335</v>
      </c>
      <c r="B337" t="n">
        <v>2021</v>
      </c>
      <c r="C337" s="2" t="n">
        <v>44519.92141819445</v>
      </c>
      <c r="D337" t="inlineStr">
        <is>
          <t>G1</t>
        </is>
      </c>
      <c r="E337" t="inlineStr">
        <is>
          <t>VENEZUELANOS</t>
        </is>
      </c>
      <c r="F337" t="inlineStr">
        <is>
          <t>ACRE</t>
        </is>
      </c>
      <c r="G337" t="inlineStr">
        <is>
          <t>ALINE NASCIMENTO E ELDÉRICO SILVA, G1 AC E BOM DIA ACRE — RIO BRANCO</t>
        </is>
      </c>
      <c r="H337" t="inlineStr">
        <is>
          <t>VENEZUELANO CONCILIA TRABALHO VOLUNTÁRIO EM ABRIGO, AULAS DA FACULDADE E 4H DE ESTUDO PARA PASSAR NO ENEM</t>
        </is>
      </c>
      <c r="I337" t="inlineStr">
        <is>
          <t>JOSÉ ANTÔNIO TIRANO MORA NO ACRE HÁ TRÊS ANOS E TENTA CONCILIAR ROTINA INTENSA DE ESTUDOS, TRABALHO EM ABRIGO E AULAS DO CURSO DE DIREITO EM UMA FACULDADE PARTICULAR.</t>
        </is>
      </c>
      <c r="J337">
        <f>HYPERLINK("https://g1.globo.com/ac/acre/noticia/2021/11/19/venezuelano-concilia-trabalho-voluntario-em-abrigo-aulas-da-faculdade-e-4h-de-estudo-para-passar-no-enem.ghtml", "URL")</f>
        <v/>
      </c>
      <c r="K337">
        <f>HYPERLINK("https://raw.githubusercontent.com/marcosmapl/dataset_imigrantes/main/noticias_filtered/g1/venezuelanos/2021/10_nov/html/g1_ded34664-231d-11ed-b24f-6dbe51e79fca_3525.html", "HTML")</f>
        <v/>
      </c>
      <c r="L337">
        <f>HYPERLINK("https://raw.githubusercontent.com/marcosmapl/dataset_imigrantes/main/noticias_filtered/g1/venezuelanos/2021/10_nov/txt/g1_ded34664-231d-11ed-b24f-6dbe51e79fca_3525.txt", "TXT")</f>
        <v/>
      </c>
    </row>
    <row r="338">
      <c r="A338" s="1" t="n">
        <v>336</v>
      </c>
      <c r="B338" t="n">
        <v>2021</v>
      </c>
      <c r="C338" s="2" t="n">
        <v>44519.82709681713</v>
      </c>
      <c r="D338" t="inlineStr">
        <is>
          <t>G1</t>
        </is>
      </c>
      <c r="E338" t="inlineStr">
        <is>
          <t>HAITIANOS</t>
        </is>
      </c>
      <c r="F338" t="inlineStr">
        <is>
          <t>MATO GROSSO</t>
        </is>
      </c>
      <c r="G338" t="inlineStr">
        <is>
          <t>G1 MT</t>
        </is>
      </c>
      <c r="H338" t="inlineStr">
        <is>
          <t>HAITIANA FAZ O ENEM EM MT E DIZ QUE SONHA SER MÉDICA APÓS PERDER AVÓ VÍTIMA DE DESCASO MÉDICO</t>
        </is>
      </c>
      <c r="I338" t="inlineStr">
        <is>
          <t>LOVEDANA DORCIN, 17 ANOS, SE MUDOU PARA O ESTADO DEPOIS QUE A FAMÍLIA TEVE LOJA DESTRUÍDA.</t>
        </is>
      </c>
      <c r="J338">
        <f>HYPERLINK("https://g1.globo.com/mt/mato-grosso/noticia/2021/11/19/haitiana-faz-o-enem-em-mt-e-diz-que-sonha-ser-medica-apos-perder-avo-vitima-de-descaso-medico.ghtml", "URL")</f>
        <v/>
      </c>
      <c r="K338">
        <f>HYPERLINK("https://raw.githubusercontent.com/marcosmapl/dataset_imigrantes/main/noticias_filtered/g1/haitianos/2021/10_nov/html/g1_baf9fe30-231e-11ed-b24f-6dbe51e79fca_3581.html", "HTML")</f>
        <v/>
      </c>
      <c r="L338">
        <f>HYPERLINK("https://raw.githubusercontent.com/marcosmapl/dataset_imigrantes/main/noticias_filtered/g1/haitianos/2021/10_nov/txt/g1_baf9fe30-231e-11ed-b24f-6dbe51e79fca_3581.txt", "TXT")</f>
        <v/>
      </c>
    </row>
    <row r="339">
      <c r="A339" s="1" t="n">
        <v>337</v>
      </c>
      <c r="B339" t="n">
        <v>2021</v>
      </c>
      <c r="C339" s="2" t="n">
        <v>44519.82212131944</v>
      </c>
      <c r="D339" t="inlineStr">
        <is>
          <t>G1</t>
        </is>
      </c>
      <c r="E339" t="inlineStr">
        <is>
          <t>HAITIANOS</t>
        </is>
      </c>
      <c r="F339" t="inlineStr">
        <is>
          <t>ACRE</t>
        </is>
      </c>
      <c r="G339" t="inlineStr">
        <is>
          <t>TÁCITA MUNIZ, G1 AC — RIO BRANCO</t>
        </is>
      </c>
      <c r="H339" t="inlineStr">
        <is>
          <t>HAITIANO QUE FICOU PARAPLÉGICO AO SER OBRIGADO A SE JOGAR DE PONTE NO AC APARECE DANDO PASSOS EM VÍDEO</t>
        </is>
      </c>
      <c r="I339" t="inlineStr">
        <is>
          <t>JACQUENUE BOSQUET, DE 36 ANOS, FOI LEVADO A UM ABRIGO DE RIO BRANCO, MAS TEM APRESENTADO PROBLEMAS PSICOLÓGICOS E AGORA SE RECUSA A CONTINUAR TRATAMENTO.</t>
        </is>
      </c>
      <c r="J339">
        <f>HYPERLINK("https://g1.globo.com/ac/acre/noticia/2021/11/19/haitiano-que-ficou-paraplegico-ao-ser-obrigado-a-se-jogar-de-ponte-no-ac-aparece-dando-passos-em-video.ghtml", "URL")</f>
        <v/>
      </c>
      <c r="K339">
        <f>HYPERLINK("https://raw.githubusercontent.com/marcosmapl/dataset_imigrantes/main/noticias_filtered/g1/haitianos/2021/10_nov/html/g1_9d8f7a9c-22f0-11ed-b24f-6dbe51e79fca_1712.html", "HTML")</f>
        <v/>
      </c>
      <c r="L339">
        <f>HYPERLINK("https://raw.githubusercontent.com/marcosmapl/dataset_imigrantes/main/noticias_filtered/g1/haitianos/2021/10_nov/txt/g1_9d8f7a9c-22f0-11ed-b24f-6dbe51e79fca_1712.txt", "TXT")</f>
        <v/>
      </c>
    </row>
    <row r="340">
      <c r="A340" s="1" t="n">
        <v>338</v>
      </c>
      <c r="B340" t="n">
        <v>2021</v>
      </c>
      <c r="C340" s="2" t="n">
        <v>44519.03986645833</v>
      </c>
      <c r="D340" t="inlineStr">
        <is>
          <t>G1</t>
        </is>
      </c>
      <c r="E340" t="inlineStr">
        <is>
          <t>HAITIANOS</t>
        </is>
      </c>
      <c r="F340" t="inlineStr">
        <is>
          <t>AMAZONAS</t>
        </is>
      </c>
      <c r="G340" t="inlineStr">
        <is>
          <t>DANIELA BRANCHES, REDE AMAZÔNICA</t>
        </is>
      </c>
      <c r="H340" t="inlineStr">
        <is>
          <t>PF INVESTIGA ENTRADA DE HAITIANOS EM MANAUS COM FALSO DOCUMENTO DE RESIDÊNCIA NO PAÍS</t>
        </is>
      </c>
      <c r="I340" t="inlineStr">
        <is>
          <t>VOO FRETADO CHEGOU À CAPITAL DO AMAZONAS TRAZENDO 80 PESSOAS VINDAS DE PORTO PRÍNCIPE, NO HAITI.</t>
        </is>
      </c>
      <c r="J340">
        <f>HYPERLINK("https://g1.globo.com/am/amazonas/noticia/2021/11/18/pf-investiga-entrada-de-haitianos-em-manaus-com-falso-documento-de-residencia-no-pais.ghtml", "URL")</f>
        <v/>
      </c>
      <c r="K340">
        <f>HYPERLINK("https://raw.githubusercontent.com/marcosmapl/dataset_imigrantes/main/noticias_filtered/g1/haitianos/2021/10_nov/html/g1_e3b45aac-22f4-11ed-b24f-6dbe51e79fca_1917.html", "HTML")</f>
        <v/>
      </c>
      <c r="L340">
        <f>HYPERLINK("https://raw.githubusercontent.com/marcosmapl/dataset_imigrantes/main/noticias_filtered/g1/haitianos/2021/10_nov/txt/g1_e3b45aac-22f4-11ed-b24f-6dbe51e79fca_1917.txt", "TXT")</f>
        <v/>
      </c>
    </row>
    <row r="341">
      <c r="A341" s="1" t="n">
        <v>339</v>
      </c>
      <c r="B341" t="n">
        <v>2021</v>
      </c>
      <c r="C341" s="2" t="n">
        <v>44517.56383101852</v>
      </c>
      <c r="D341" t="inlineStr">
        <is>
          <t>A CRITICA</t>
        </is>
      </c>
      <c r="E341" t="inlineStr">
        <is>
          <t>VENEZUELANOS</t>
        </is>
      </c>
      <c r="F341" t="inlineStr"/>
      <c r="G341" t="inlineStr">
        <is>
          <t>PORTAL A CRÍTICA</t>
        </is>
      </c>
      <c r="H341" t="inlineStr">
        <is>
          <t>PROJETO  'ADOTE UM CICLO' DOA MAIS DE 200 MIL ABSORVENTES A INSTITUIÇÕES EM MANAUS</t>
        </is>
      </c>
      <c r="I341" t="inlineStr">
        <is>
          <t>TODA A POPULAÇÃO PODE CONTRIBUIR REALIZANDO DOAÇÕES EM UM DOS PONTOS DE COLETA DA INICIATIVA, ENTRE ELES, O COLÉGIO MARTHA FALCÃO, LOCALIZADO NA RUA SALVADOR, N° 455, NO BAIRRO ADRIANÓPOLIS</t>
        </is>
      </c>
      <c r="J341">
        <f>HYPERLINK("https://www.acritica.com/projeto-adote-um-ciclo-doa-mais-de-200-mil-absorventes-a-instituic-es-em-manaus-1.6220", "URL")</f>
        <v/>
      </c>
      <c r="K341">
        <f>HYPERLINK("https://raw.githubusercontent.com/marcosmapl/dataset_imigrantes/main/noticias_filtered/a_critica/venezuelanos/2021/10_nov/html/1.6220_990.html", "HTML")</f>
        <v/>
      </c>
      <c r="L341">
        <f>HYPERLINK("https://raw.githubusercontent.com/marcosmapl/dataset_imigrantes/main/noticias_filtered/a_critica/venezuelanos/2021/10_nov/txt/1.6220_990.txt", "TXT")</f>
        <v/>
      </c>
    </row>
    <row r="342">
      <c r="A342" s="1" t="n">
        <v>340</v>
      </c>
      <c r="B342" t="n">
        <v>2021</v>
      </c>
      <c r="C342" s="2" t="n">
        <v>44516.8627849537</v>
      </c>
      <c r="D342" t="inlineStr">
        <is>
          <t>G1</t>
        </is>
      </c>
      <c r="E342" t="inlineStr">
        <is>
          <t>VENEZUELANOS</t>
        </is>
      </c>
      <c r="F342" t="inlineStr">
        <is>
          <t>PIAUÍ</t>
        </is>
      </c>
      <c r="G342" t="inlineStr">
        <is>
          <t>KAMILA SARAIVA, LAURA MOURA E CATARINA COSTA, TV CLUBE/G1 PI</t>
        </is>
      </c>
      <c r="H342" t="inlineStr">
        <is>
          <t>LAUDO DO IML APONTA QUE BEBÊ VENEZUELANA MORTA EM TERESINA SOFREU AGRESSÕES E INTOXICAÇÃO</t>
        </is>
      </c>
      <c r="I342" t="inlineStr">
        <is>
          <t>A MORTE DA CRIANÇA SOB SUSPEITA DE MAUS-TRATOS É INVESTIGADA PELA DELEGACIA DE PROTEÇÃO À CRIANÇA E AO ADOLESCENTE VÍTIMA (DPCA).</t>
        </is>
      </c>
      <c r="J342">
        <f>HYPERLINK("https://g1.globo.com/pi/piaui/noticia/2021/11/16/laudo-do-iml-aponta-que-bebe-venezuelana-morta-em-teresina-sofreu-agressoes-e-intoxicacao-alimentar.ghtml", "URL")</f>
        <v/>
      </c>
      <c r="K342">
        <f>HYPERLINK("https://raw.githubusercontent.com/marcosmapl/dataset_imigrantes/main/noticias_filtered/g1/venezuelanos/2021/10_nov/html/g1_dc504cca-2309-11ed-b24f-6dbe51e79fca_2469.html", "HTML")</f>
        <v/>
      </c>
      <c r="L342">
        <f>HYPERLINK("https://raw.githubusercontent.com/marcosmapl/dataset_imigrantes/main/noticias_filtered/g1/venezuelanos/2021/10_nov/txt/g1_dc504cca-2309-11ed-b24f-6dbe51e79fca_2469.txt", "TXT")</f>
        <v/>
      </c>
    </row>
    <row r="343">
      <c r="A343" s="1" t="n">
        <v>341</v>
      </c>
      <c r="B343" t="n">
        <v>2021</v>
      </c>
      <c r="C343" s="2" t="n">
        <v>44516.66541293982</v>
      </c>
      <c r="D343" t="inlineStr">
        <is>
          <t>G1</t>
        </is>
      </c>
      <c r="E343" t="inlineStr">
        <is>
          <t>HAITIANOS</t>
        </is>
      </c>
      <c r="F343" t="inlineStr">
        <is>
          <t>MUNDO</t>
        </is>
      </c>
      <c r="G343" t="inlineStr">
        <is>
          <t>REUTERS</t>
        </is>
      </c>
      <c r="H343" t="inlineStr">
        <is>
          <t>TURQUIA PRENDE SUSPEITO PROCURADO POR RELAÇÃO COM ASSASSINATO DO PRESIDENTE HAITIANO JOVENEL MOISE</t>
        </is>
      </c>
      <c r="I343" t="inlineStr">
        <is>
          <t>SAMIR HANDAL, QUE ESTAVA SENDO PROCURADO COM UM AVISO VERMELHO DA INTERPOL, FOI DETIDO NO AEROPORTO DE ISTAMBUL PELAS AUTORIDADES ENQUANTO FAZIA UM VOO EM TRÂNSITO DOS ESTADOS UNIDOS PARA A JORDÂNIA.</t>
        </is>
      </c>
      <c r="J343">
        <f>HYPERLINK("https://g1.globo.com/mundo/noticia/2021/11/16/turquia-prende-suspeito-procurado-por-relacao-com-assassinato-do-presidente-haitiano-jovenel-moise.ghtml", "URL")</f>
        <v/>
      </c>
      <c r="K343">
        <f>HYPERLINK("https://raw.githubusercontent.com/marcosmapl/dataset_imigrantes/main/noticias_filtered/g1/haitianos/2021/10_nov/html/g1_a1cdabfe-22ed-11ed-b24f-6dbe51e79fca_1683.html", "HTML")</f>
        <v/>
      </c>
      <c r="L343">
        <f>HYPERLINK("https://raw.githubusercontent.com/marcosmapl/dataset_imigrantes/main/noticias_filtered/g1/haitianos/2021/10_nov/txt/g1_a1cdabfe-22ed-11ed-b24f-6dbe51e79fca_1683.txt", "TXT")</f>
        <v/>
      </c>
    </row>
    <row r="344">
      <c r="A344" s="1" t="n">
        <v>342</v>
      </c>
      <c r="B344" t="n">
        <v>2021</v>
      </c>
      <c r="C344" s="2" t="n">
        <v>44515.65828697917</v>
      </c>
      <c r="D344" t="inlineStr">
        <is>
          <t>G1</t>
        </is>
      </c>
      <c r="E344" t="inlineStr">
        <is>
          <t>VENEZUELANOS</t>
        </is>
      </c>
      <c r="F344" t="inlineStr">
        <is>
          <t>POP &amp; ARTE</t>
        </is>
      </c>
      <c r="G344" t="inlineStr">
        <is>
          <t>FRANCE PRESSE</t>
        </is>
      </c>
      <c r="H344" t="inlineStr">
        <is>
          <t>12 MIL MÚSICOS VENEZUELANOS TENTAM BATER O RECORDE DE MAIOR ORQUESTRA DO MUNDO</t>
        </is>
      </c>
      <c r="I344" t="inlineStr">
        <is>
          <t>ATUAL RECORDE, DE 2019, FOI REGISTRADO EM SÃO PETERSBURGO, RÚSSIA, POR UMA ORQUESTRA DE 8.097 MÚSICOS. ORGANIZAÇÃO DO GUINNESS DARÁ O RESULTADO NOS PRÓXIMOS DIAS.</t>
        </is>
      </c>
      <c r="J344">
        <f>HYPERLINK("https://g1.globo.com/pop-arte/musica/noticia/2021/11/15/12-mil-musicos-venezuelanos-tentam-bater-o-recorde-de-maior-orquestra-do-mundo.ghtml", "URL")</f>
        <v/>
      </c>
      <c r="K344">
        <f>HYPERLINK("https://raw.githubusercontent.com/marcosmapl/dataset_imigrantes/main/noticias_filtered/g1/venezuelanos/2021/10_nov/html/g1_137976fa-230e-11ed-b24f-6dbe51e79fca_2719.html", "HTML")</f>
        <v/>
      </c>
      <c r="L344">
        <f>HYPERLINK("https://raw.githubusercontent.com/marcosmapl/dataset_imigrantes/main/noticias_filtered/g1/venezuelanos/2021/10_nov/txt/g1_137976fa-230e-11ed-b24f-6dbe51e79fca_2719.txt", "TXT")</f>
        <v/>
      </c>
    </row>
    <row r="345">
      <c r="A345" s="1" t="n">
        <v>343</v>
      </c>
      <c r="B345" t="n">
        <v>2021</v>
      </c>
      <c r="C345" s="2" t="n">
        <v>44513.79049958333</v>
      </c>
      <c r="D345" t="inlineStr">
        <is>
          <t>G1</t>
        </is>
      </c>
      <c r="E345" t="inlineStr">
        <is>
          <t>VENEZUELANOS</t>
        </is>
      </c>
      <c r="F345" t="inlineStr">
        <is>
          <t>PIAUÍ</t>
        </is>
      </c>
      <c r="G345" t="inlineStr">
        <is>
          <t>CLARA VIANA E CATARINA COSTA, G1 PI</t>
        </is>
      </c>
      <c r="H345" t="inlineStr">
        <is>
          <t>DPCA ASSUME INVESTIGAÇÃO DA MORTE DE BEBÊ VENEZUELANA SOB SUSPEITA DE MAUS-TRATOS EM TERESINA</t>
        </is>
      </c>
      <c r="I345" t="inlineStr">
        <is>
          <t>A MÃE DE 13 ANOS E A AVÓ DA CRIANÇA FORAM OUVIDAS E VOLTARAM PARA O ABRIGO NO CENTRO SOCIAL URBANO DO BUENOS AIRES. EXAME FEITO PELO INSTITUTO MÉDICO LEGAL VAI DEFINIR A CAUSA DA MORTE.</t>
        </is>
      </c>
      <c r="J345">
        <f>HYPERLINK("https://g1.globo.com/pi/piaui/noticia/2021/11/13/dpca-assume-investigacao-de-morte-de-bebe-venezuelana-sob-suspeita-de-maus-tratos-em-teresina.ghtml", "URL")</f>
        <v/>
      </c>
      <c r="K345">
        <f>HYPERLINK("https://raw.githubusercontent.com/marcosmapl/dataset_imigrantes/main/noticias_filtered/g1/venezuelanos/2021/10_nov/html/g1_ef7ebc82-2327-11ed-b24f-6dbe51e79fca_4056.html", "HTML")</f>
        <v/>
      </c>
      <c r="L345">
        <f>HYPERLINK("https://raw.githubusercontent.com/marcosmapl/dataset_imigrantes/main/noticias_filtered/g1/venezuelanos/2021/10_nov/txt/g1_ef7ebc82-2327-11ed-b24f-6dbe51e79fca_4056.txt", "TXT")</f>
        <v/>
      </c>
    </row>
    <row r="346">
      <c r="A346" s="1" t="n">
        <v>344</v>
      </c>
      <c r="B346" t="n">
        <v>2021</v>
      </c>
      <c r="C346" s="2" t="n">
        <v>44513.4910215625</v>
      </c>
      <c r="D346" t="inlineStr">
        <is>
          <t>G1</t>
        </is>
      </c>
      <c r="E346" t="inlineStr">
        <is>
          <t>HAITIANOS</t>
        </is>
      </c>
      <c r="F346" t="inlineStr">
        <is>
          <t>MUNDO</t>
        </is>
      </c>
      <c r="G346" t="inlineStr">
        <is>
          <t>RFI</t>
        </is>
      </c>
      <c r="H346" t="inlineStr">
        <is>
          <t>ORGANIZAÇÃO DOS ESTADOS AMERICANOS CONTESTA 'LEGITIMIDADE DEMOCRÁTICA' DAS ELEIÇÕES NA NICARÁGUA</t>
        </is>
      </c>
      <c r="I346" t="inlineStr">
        <is>
          <t>TEXTO FOI APROVADO POR 25 VOTOS A FAVOR ENTRE OS 34 MEMBROS ATIVOS DO BLOCO; ENTIDADE PEDIU 'AVALIAÇÃO COLETIVA' ATÉ 30 DE NOVEMBRO PARA A ADOÇÃO DE MEDIDAS CABÍVEIS. EM 7 DE NOVEMBRO, DANIEL ORTEGA CONQUISTOU O QUARTO MANDADO NA DISPUTA, QUE NÃO TEVE UMA REAL CONCORRÊNCIA: 7 PRÉ-CANDIDATOS DA OPOSIÇÃO FORAM DETIDOS ANTES DA VOTAÇÃO.</t>
        </is>
      </c>
      <c r="J346">
        <f>HYPERLINK("https://g1.globo.com/mundo/noticia/2021/11/13/organizacao-dos-estados-americanos-contesta-legitimidade-democratica-das-eleicoes-na-nicaragua.ghtml", "URL")</f>
        <v/>
      </c>
      <c r="K346">
        <f>HYPERLINK("https://raw.githubusercontent.com/marcosmapl/dataset_imigrantes/main/noticias_filtered/g1/haitianos/2021/10_nov/html/g1_6457a3d0-230e-11ed-b24f-6dbe51e79fca_2735.html", "HTML")</f>
        <v/>
      </c>
      <c r="L346">
        <f>HYPERLINK("https://raw.githubusercontent.com/marcosmapl/dataset_imigrantes/main/noticias_filtered/g1/haitianos/2021/10_nov/txt/g1_6457a3d0-230e-11ed-b24f-6dbe51e79fca_2735.txt", "TXT")</f>
        <v/>
      </c>
    </row>
    <row r="347">
      <c r="A347" s="1" t="n">
        <v>345</v>
      </c>
      <c r="B347" t="n">
        <v>2021</v>
      </c>
      <c r="C347" s="2" t="n">
        <v>44513.46005168981</v>
      </c>
      <c r="D347" t="inlineStr">
        <is>
          <t>G1</t>
        </is>
      </c>
      <c r="E347" t="inlineStr">
        <is>
          <t>VENEZUELANOS</t>
        </is>
      </c>
      <c r="F347" t="inlineStr">
        <is>
          <t>PIAUÍ</t>
        </is>
      </c>
      <c r="G347" t="inlineStr">
        <is>
          <t>G1 PI</t>
        </is>
      </c>
      <c r="H347" t="inlineStr">
        <is>
          <t>SEIS CRIANÇAS VENEZUELANAS MORRERAM NESTE ANO EM TERESINA, DIZ SEMCASPI</t>
        </is>
      </c>
      <c r="I347" t="inlineStr">
        <is>
          <t>DE ACORDO COM O SECRETÁRIO EXECUTIVO DA SEMCASPI, EDUARDO AGUIAR, EM TODOS OS CASOS, AS CRIANÇAS POSSUÍAM SINAIS DE DESNUTRIÇÃO. ALÉM DISSO, HÁ SUSPEITA DE NEGLIGÊNCIA POR PARTE DAS FAMÍLIAS DAS VÍTIMAS E A NÃO ADESÃO AO TRATAMENTO MEDICAMENTOSO.</t>
        </is>
      </c>
      <c r="J347">
        <f>HYPERLINK("https://g1.globo.com/pi/piaui/noticia/2021/11/13/seis-criancas-venezuelanas-morreram-neste-ano-em-teresina-diz-semcaspi.ghtml", "URL")</f>
        <v/>
      </c>
      <c r="K347">
        <f>HYPERLINK("https://raw.githubusercontent.com/marcosmapl/dataset_imigrantes/main/noticias_filtered/g1/venezuelanos/2021/10_nov/html/g1_4565577a-232b-11ed-b24f-6dbe51e79fca_4235.html", "HTML")</f>
        <v/>
      </c>
      <c r="L347">
        <f>HYPERLINK("https://raw.githubusercontent.com/marcosmapl/dataset_imigrantes/main/noticias_filtered/g1/venezuelanos/2021/10_nov/txt/g1_4565577a-232b-11ed-b24f-6dbe51e79fca_4235.txt", "TXT")</f>
        <v/>
      </c>
    </row>
    <row r="348">
      <c r="A348" s="1" t="n">
        <v>346</v>
      </c>
      <c r="B348" t="n">
        <v>2021</v>
      </c>
      <c r="C348" s="2" t="n">
        <v>44513.45138888889</v>
      </c>
      <c r="D348" t="inlineStr">
        <is>
          <t>A CRITICA</t>
        </is>
      </c>
      <c r="E348" t="inlineStr">
        <is>
          <t>HAITIANOS</t>
        </is>
      </c>
      <c r="F348" t="inlineStr">
        <is>
          <t>OPINIAO</t>
        </is>
      </c>
      <c r="G348" t="inlineStr">
        <is>
          <t>MARCUS LACERDA</t>
        </is>
      </c>
      <c r="H348" t="inlineStr">
        <is>
          <t>AMIGOS</t>
        </is>
      </c>
      <c r="I348" t="inlineStr">
        <is>
          <t>AS RELAÇÕES DE AMIZADE OSCILAM MESMO, MAS NUNCA HOUVE TAMANHA PRESSÃO PARA TANTA INSTABILIDADE.</t>
        </is>
      </c>
      <c r="J348">
        <f>HYPERLINK("https://www.acritica.com/opiniao/amigos-1.215343", "URL")</f>
        <v/>
      </c>
      <c r="K348">
        <f>HYPERLINK("https://raw.githubusercontent.com/marcosmapl/dataset_imigrantes/main/noticias_filtered/a_critica/haitianos/2021/10_nov/html/1.215343_114.html", "HTML")</f>
        <v/>
      </c>
      <c r="L348">
        <f>HYPERLINK("https://raw.githubusercontent.com/marcosmapl/dataset_imigrantes/main/noticias_filtered/a_critica/haitianos/2021/10_nov/txt/1.215343_114.txt", "TXT")</f>
        <v/>
      </c>
    </row>
    <row r="349">
      <c r="A349" s="1" t="n">
        <v>347</v>
      </c>
      <c r="B349" t="n">
        <v>2021</v>
      </c>
      <c r="C349" s="2" t="n">
        <v>44512.78971268518</v>
      </c>
      <c r="D349" t="inlineStr">
        <is>
          <t>G1</t>
        </is>
      </c>
      <c r="E349" t="inlineStr">
        <is>
          <t>VENEZUELANOS</t>
        </is>
      </c>
      <c r="F349" t="inlineStr">
        <is>
          <t>PIAUÍ</t>
        </is>
      </c>
      <c r="G349" t="inlineStr">
        <is>
          <t>BÁRBARA RODRIGUES E LIVIA FERREIRA*, G1 PI</t>
        </is>
      </c>
      <c r="H349" t="inlineStr">
        <is>
          <t>BEBÊ VENEZUELANA DE 9 MESES MORRE EM HOSPITAL NA ZONA NORTE DE TERESINA;  CONSELHO TUTELAR SUSPEITA DE MAUS-TRATOS</t>
        </is>
      </c>
      <c r="I349" t="inlineStr">
        <is>
          <t>O CASO ESTÁ SENDO ACOMPANHADO PELO CONSELHO TUTELAR DA ZONA NORTE E PELA SECRETARIA MUNICIPAL DE CIDADANIA, ASSISTÊNCIA SOCIAL E POLÍTICAS INTEGRADAS.</t>
        </is>
      </c>
      <c r="J349">
        <f>HYPERLINK("https://g1.globo.com/pi/piaui/noticia/2021/11/12/bebe-venezuelana-de-8-meses-morre-em-hospital-na-zona-norte-de-teresina-policia-suspeita-de-maus-tratos.ghtml", "URL")</f>
        <v/>
      </c>
      <c r="K349">
        <f>HYPERLINK("https://raw.githubusercontent.com/marcosmapl/dataset_imigrantes/main/noticias_filtered/g1/venezuelanos/2021/10_nov/html/g1_2fb0685e-2329-11ed-b24f-6dbe51e79fca_4101.html", "HTML")</f>
        <v/>
      </c>
      <c r="L349">
        <f>HYPERLINK("https://raw.githubusercontent.com/marcosmapl/dataset_imigrantes/main/noticias_filtered/g1/venezuelanos/2021/10_nov/txt/g1_2fb0685e-2329-11ed-b24f-6dbe51e79fca_4101.txt", "TXT")</f>
        <v/>
      </c>
    </row>
    <row r="350">
      <c r="A350" s="1" t="n">
        <v>348</v>
      </c>
      <c r="B350" t="n">
        <v>2021</v>
      </c>
      <c r="C350" s="2" t="n">
        <v>44512.67981890046</v>
      </c>
      <c r="D350" t="inlineStr">
        <is>
          <t>G1</t>
        </is>
      </c>
      <c r="E350" t="inlineStr">
        <is>
          <t>VENEZUELANOS</t>
        </is>
      </c>
      <c r="F350" t="inlineStr">
        <is>
          <t>MINAS GERAIS</t>
        </is>
      </c>
      <c r="G350" t="inlineStr">
        <is>
          <t>CAMILA FALABELA, TV GLOBO — BELO HORIZONTE</t>
        </is>
      </c>
      <c r="H350" t="inlineStr">
        <is>
          <t>PRAZO PARA PBH APRESENTAR PLANO DE REMANEJAMENTO DE REFUGIADOS INDÍGENAS TERMINA NESTA SEXTA</t>
        </is>
      </c>
      <c r="I350" t="inlineStr">
        <is>
          <t>OS 74 INDÍGENAS VENEZUELANOS ESTÃO NO ABRIGO SÃO PAULO, NA REGIÃO NORTE, DESDE SETEMBRO. PARTE DO GRUPO TEVE COVID-19, E UMA CRIANÇA DE 1 ANO E 7 MESES MORREU POR CAUSA DA DOENÇA.</t>
        </is>
      </c>
      <c r="J350">
        <f>HYPERLINK("https://g1.globo.com/mg/minas-gerais/noticia/2021/11/12/prazo-para-pbh-apresentar-plano-de-remanejamento-de-refugiados-indigenas-termina-nesta-sexta.ghtml", "URL")</f>
        <v/>
      </c>
      <c r="K350">
        <f>HYPERLINK("https://raw.githubusercontent.com/marcosmapl/dataset_imigrantes/main/noticias_filtered/g1/venezuelanos/2021/10_nov/html/g1_2e85a65a-232a-11ed-b24f-6dbe51e79fca_4162.html", "HTML")</f>
        <v/>
      </c>
      <c r="L350">
        <f>HYPERLINK("https://raw.githubusercontent.com/marcosmapl/dataset_imigrantes/main/noticias_filtered/g1/venezuelanos/2021/10_nov/txt/g1_2e85a65a-232a-11ed-b24f-6dbe51e79fca_4162.txt", "TXT")</f>
        <v/>
      </c>
    </row>
    <row r="351">
      <c r="A351" s="1" t="n">
        <v>349</v>
      </c>
      <c r="B351" t="n">
        <v>2021</v>
      </c>
      <c r="C351" s="2" t="n">
        <v>44510.89110721065</v>
      </c>
      <c r="D351" t="inlineStr">
        <is>
          <t>G1</t>
        </is>
      </c>
      <c r="E351" t="inlineStr">
        <is>
          <t>VENEZUELANOS</t>
        </is>
      </c>
      <c r="F351" t="inlineStr">
        <is>
          <t>MATO GROSSO</t>
        </is>
      </c>
      <c r="G351" t="inlineStr">
        <is>
          <t>G1 MT</t>
        </is>
      </c>
      <c r="H351" t="inlineStr">
        <is>
          <t>POLICIAL MILITAR DÁ TAPA NO ROSTO DE VENEZUELANO DURANTE ABORDAGEM EM MT; VEJA VÍDEO</t>
        </is>
      </c>
      <c r="I351" t="inlineStr">
        <is>
          <t>PESSOAS QUE ESTAVAM PRÓXIMO AO LOCAL GRAVARAM O MOMENTO DA AÇÃO. O VENEZUELANO SE IRRITA COM A SITUAÇÃO E DESAFIA O POLICIAL.</t>
        </is>
      </c>
      <c r="J351">
        <f>HYPERLINK("https://g1.globo.com/mt/mato-grosso/noticia/2021/11/10/policial-militar-da-tapa-no-rosto-de-venezuelano-durante-abordagem-em-barra-do-garcas-mt.ghtml", "URL")</f>
        <v/>
      </c>
      <c r="K351">
        <f>HYPERLINK("https://raw.githubusercontent.com/marcosmapl/dataset_imigrantes/main/noticias_filtered/g1/venezuelanos/2021/10_nov/html/g1_ed615226-231c-11ed-b24f-6dbe51e79fca_3474.html", "HTML")</f>
        <v/>
      </c>
      <c r="L351">
        <f>HYPERLINK("https://raw.githubusercontent.com/marcosmapl/dataset_imigrantes/main/noticias_filtered/g1/venezuelanos/2021/10_nov/txt/g1_ed615226-231c-11ed-b24f-6dbe51e79fca_3474.txt", "TXT")</f>
        <v/>
      </c>
    </row>
    <row r="352">
      <c r="A352" s="1" t="n">
        <v>350</v>
      </c>
      <c r="B352" t="n">
        <v>2021</v>
      </c>
      <c r="C352" s="2" t="n">
        <v>44510.42993055555</v>
      </c>
      <c r="D352" t="inlineStr">
        <is>
          <t>A CRITICA</t>
        </is>
      </c>
      <c r="E352" t="inlineStr">
        <is>
          <t>VENEZUELANOS</t>
        </is>
      </c>
      <c r="F352" t="inlineStr"/>
      <c r="G352" t="inlineStr">
        <is>
          <t>PORTAL A CRÍTICA</t>
        </is>
      </c>
      <c r="H352" t="inlineStr">
        <is>
          <t>GRUPO CURUMIM NA LATA COMEMORA 18 ANOS DE ARTE E EDUCAÇÃO COM SHOW EM TEATRO</t>
        </is>
      </c>
      <c r="I352" t="inlineStr">
        <is>
          <t>O PROJETO É EXECUTADO PELA SECRETARIA MUNICIPAL DE EDUCAÇÃO (SEMED), POR MEIO DO CENTRO MUNICIPAL DE ARTE E EDUCAÇÃO (CMAE) ANÍBAL BEÇA, QUE HÁ 19 ANOS DESENVOLVE AÇÕES NA ZONA LESTE</t>
        </is>
      </c>
      <c r="J352">
        <f>HYPERLINK("https://www.acritica.com/grupo-curumim-na-lata-comemora-18-anos-de-arte-e-educac-o-com-show-em-teatro-1.6357", "URL")</f>
        <v/>
      </c>
      <c r="K352">
        <f>HYPERLINK("https://raw.githubusercontent.com/marcosmapl/dataset_imigrantes/main/noticias_filtered/a_critica/venezuelanos/2021/10_nov/html/1.6357_9.html", "HTML")</f>
        <v/>
      </c>
      <c r="L352">
        <f>HYPERLINK("https://raw.githubusercontent.com/marcosmapl/dataset_imigrantes/main/noticias_filtered/a_critica/venezuelanos/2021/10_nov/txt/1.6357_9.txt", "TXT")</f>
        <v/>
      </c>
    </row>
    <row r="353">
      <c r="A353" s="1" t="n">
        <v>351</v>
      </c>
      <c r="B353" t="n">
        <v>2021</v>
      </c>
      <c r="C353" s="2" t="n">
        <v>44506.79049768519</v>
      </c>
      <c r="D353" t="inlineStr">
        <is>
          <t>A CRITICA</t>
        </is>
      </c>
      <c r="E353" t="inlineStr">
        <is>
          <t>VENEZUELANOS</t>
        </is>
      </c>
      <c r="F353" t="inlineStr">
        <is>
          <t>POLICIA</t>
        </is>
      </c>
      <c r="G353" t="inlineStr">
        <is>
          <t>PORTAL A CRÍTICA</t>
        </is>
      </c>
      <c r="H353" t="inlineStr">
        <is>
          <t>VENEZUELANO SUSPEITO DE ASSASSINATO DE FISIOTERAPEUTA É PRESO PELA POLÍCIA CIVIL, EM MANAUS</t>
        </is>
      </c>
      <c r="I353" t="inlineStr">
        <is>
          <t>O CRIME OCORREU EM PORTO VELHO (RO) E O INDIVÍDUO FOI PRESO NA CAPITAL DO ESTADO</t>
        </is>
      </c>
      <c r="J353">
        <f>HYPERLINK("https://www.acritica.com/policia/venezuelano-suspeito-de-assassinato-de-fisioterapeuta-e-preso-pela-policia-civil-em-manaus-1.7197", "URL")</f>
        <v/>
      </c>
      <c r="K353">
        <f>HYPERLINK("https://raw.githubusercontent.com/marcosmapl/dataset_imigrantes/main/noticias_filtered/a_critica/venezuelanos/2021/10_nov/html/1.7197_551.html", "HTML")</f>
        <v/>
      </c>
      <c r="L353">
        <f>HYPERLINK("https://raw.githubusercontent.com/marcosmapl/dataset_imigrantes/main/noticias_filtered/a_critica/venezuelanos/2021/10_nov/txt/1.7197_551.txt", "TXT")</f>
        <v/>
      </c>
    </row>
    <row r="354">
      <c r="A354" s="1" t="n">
        <v>352</v>
      </c>
      <c r="B354" t="n">
        <v>2021</v>
      </c>
      <c r="C354" s="2" t="n">
        <v>44506.74489241898</v>
      </c>
      <c r="D354" t="inlineStr">
        <is>
          <t>G1</t>
        </is>
      </c>
      <c r="E354" t="inlineStr">
        <is>
          <t>VENEZUELANOS</t>
        </is>
      </c>
      <c r="F354" t="inlineStr">
        <is>
          <t>AMAZONAS</t>
        </is>
      </c>
      <c r="G354" t="inlineStr">
        <is>
          <t>G1 AM</t>
        </is>
      </c>
      <c r="H354" t="inlineStr">
        <is>
          <t>VENEZUELANO INVESTIGADO PELA MORTE DE FISIOTERAPEUTA EM PORTO VELHO É PRESO EM MANAUS</t>
        </is>
      </c>
      <c r="I354" t="inlineStr">
        <is>
          <t>O CRIME OCORREU EM PORTO VELHO. SEGUNDO A POLÍCIA, ELE PLANEJAVA FUGIR PARA O EXTERIOR.</t>
        </is>
      </c>
      <c r="J354">
        <f>HYPERLINK("https://g1.globo.com/am/amazonas/noticia/2021/11/06/venezuelano-investigado-pela-morte-de-fisioterapeuta-em-porto-velho-e-preso-em-manaus.ghtml", "URL")</f>
        <v/>
      </c>
      <c r="K354">
        <f>HYPERLINK("https://raw.githubusercontent.com/marcosmapl/dataset_imigrantes/main/noticias_filtered/g1/venezuelanos/2021/10_nov/html/g1_77f49396-2325-11ed-b24f-6dbe51e79fca_3915.html", "HTML")</f>
        <v/>
      </c>
      <c r="L354">
        <f>HYPERLINK("https://raw.githubusercontent.com/marcosmapl/dataset_imigrantes/main/noticias_filtered/g1/venezuelanos/2021/10_nov/txt/g1_77f49396-2325-11ed-b24f-6dbe51e79fca_3915.txt", "TXT")</f>
        <v/>
      </c>
    </row>
    <row r="355">
      <c r="A355" s="1" t="n">
        <v>353</v>
      </c>
      <c r="B355" t="n">
        <v>2021</v>
      </c>
      <c r="C355" s="2" t="n">
        <v>44506.62931940972</v>
      </c>
      <c r="D355" t="inlineStr">
        <is>
          <t>G1</t>
        </is>
      </c>
      <c r="E355" t="inlineStr">
        <is>
          <t>VENEZUELANOS</t>
        </is>
      </c>
      <c r="F355" t="inlineStr">
        <is>
          <t>RONDÔNIA</t>
        </is>
      </c>
      <c r="G355" t="inlineStr">
        <is>
          <t>JHENIFFER NÚBIA, G1 RO</t>
        </is>
      </c>
      <c r="H355" t="inlineStr">
        <is>
          <t>VENEZUELANO É PRESO SUSPEITO DE MATAR FISIOTERAPEUTA A FACADAS EM CAMPO DE FUTEBOL EM PORTO VELHO</t>
        </is>
      </c>
      <c r="I355" t="inlineStr">
        <is>
          <t>VENEZUELANO OSCAR ELOY OROPEZA RUIZ, 22 ANOS, FOI PRESO NA RODOVIÁRIA DE MANAUS. FISIOTERAPEUTA JORGE AUGUSTO BARROSO DA SILVA MORREU APÓS IR URINAR EM CAMPO DE FUTEBOL.</t>
        </is>
      </c>
      <c r="J355">
        <f>HYPERLINK("https://g1.globo.com/ro/rondonia/noticia/2021/11/06/venezuelano-e-preso-suspeito-de-matar-fisioterapeuta-a-facadas-em-campo-de-futebol-em-porto-velho.ghtml", "URL")</f>
        <v/>
      </c>
      <c r="K355">
        <f>HYPERLINK("https://raw.githubusercontent.com/marcosmapl/dataset_imigrantes/main/noticias_filtered/g1/venezuelanos/2021/10_nov/html/g1_3966073a-2317-11ed-b24f-6dbe51e79fca_3194.html", "HTML")</f>
        <v/>
      </c>
      <c r="L355">
        <f>HYPERLINK("https://raw.githubusercontent.com/marcosmapl/dataset_imigrantes/main/noticias_filtered/g1/venezuelanos/2021/10_nov/txt/g1_3966073a-2317-11ed-b24f-6dbe51e79fca_3194.txt", "TXT")</f>
        <v/>
      </c>
    </row>
    <row r="356">
      <c r="A356" s="1" t="n">
        <v>354</v>
      </c>
      <c r="B356" t="n">
        <v>2021</v>
      </c>
      <c r="C356" s="2" t="n">
        <v>44505.90741045139</v>
      </c>
      <c r="D356" t="inlineStr">
        <is>
          <t>G1</t>
        </is>
      </c>
      <c r="E356" t="inlineStr">
        <is>
          <t>HAITIANOS</t>
        </is>
      </c>
      <c r="F356" t="inlineStr">
        <is>
          <t>SÃO PAULO</t>
        </is>
      </c>
      <c r="G356" t="inlineStr">
        <is>
          <t>G1 SP — SÃO PAULO</t>
        </is>
      </c>
      <c r="H356" t="inlineStr">
        <is>
          <t>MOSTRA DE FILMES ESTREIA NESTA SEXTA-FEIRA COM EXIBIÇÃO GRATUITA DE 'LIBÓRIO' NO VÃO LIVRE DO MASP</t>
        </is>
      </c>
      <c r="I356" t="inlineStr">
        <is>
          <t>A MOSTRA NICHO NOVEMBRO TAMBÉM EXIBIRÁ GRATUITAMENTE 15 PRODUÇÕES NACIONAIS E INTERNACIONAIS EM PLATAFORMA DE STREAMING.</t>
        </is>
      </c>
      <c r="J356">
        <f>HYPERLINK("https://g1.globo.com/sp/sao-paulo/o-que-fazer-em-sao-paulo/noticia/2021/11/05/mostra-de-filmes-estreia-nesta-sexta-feira-com-exibicao-gratuita-de-liborio-no-vao-livre-do-masp.ghtml", "URL")</f>
        <v/>
      </c>
      <c r="K356">
        <f>HYPERLINK("https://raw.githubusercontent.com/marcosmapl/dataset_imigrantes/main/noticias_filtered/g1/haitianos/2021/10_nov/html/g1_cf814510-2306-11ed-b24f-6dbe51e79fca_2279.html", "HTML")</f>
        <v/>
      </c>
      <c r="L356">
        <f>HYPERLINK("https://raw.githubusercontent.com/marcosmapl/dataset_imigrantes/main/noticias_filtered/g1/haitianos/2021/10_nov/txt/g1_cf814510-2306-11ed-b24f-6dbe51e79fca_2279.txt", "TXT")</f>
        <v/>
      </c>
    </row>
    <row r="357">
      <c r="A357" s="1" t="n">
        <v>355</v>
      </c>
      <c r="B357" t="n">
        <v>2021</v>
      </c>
      <c r="C357" s="2" t="n">
        <v>44504.48246789352</v>
      </c>
      <c r="D357" t="inlineStr">
        <is>
          <t>G1</t>
        </is>
      </c>
      <c r="E357" t="inlineStr">
        <is>
          <t>VENEZUELANOS</t>
        </is>
      </c>
      <c r="F357" t="inlineStr">
        <is>
          <t>TOCANTINS</t>
        </is>
      </c>
      <c r="G357" t="inlineStr">
        <is>
          <t>EDSON REIS, G1 TOCANTINS</t>
        </is>
      </c>
      <c r="H357" t="inlineStr">
        <is>
          <t>LUTA PELA SOBREVIVÊNCIA E OS DESAFIOS NA EDUCAÇÃO: VEJA COMO VIVEM OS VENEZUELANOS NO TO APÓS DOIS ANOS DE IMIGRAÇÃO</t>
        </is>
      </c>
      <c r="I357" t="inlineStr">
        <is>
          <t>CERCA DE 40 FAMÍLIAS QUE DECIDIRAM FIXAR MORADIA EM PALMAS DIVIDEM ESPAÇO EM LOCAL CEDIDO PELA PREFEITURA. APÓS DOIS ANOS LONGE DAS ESCOLAS, CRIANÇAS FINALMENTE COMEÇARAM A ESTUDAR GRAÇAS A INICIATIVA DO MINISTÉRIO PÚBLICO ESTADUAL.</t>
        </is>
      </c>
      <c r="J357">
        <f>HYPERLINK("https://g1.globo.com/to/tocantins/noticia/2021/11/04/luta-pela-sobrevivencia-e-os-desafios-na-educacao-veja-como-vivem-os-venezuelanos-no-to-apos-dois-anos-de-imigracao.ghtml", "URL")</f>
        <v/>
      </c>
      <c r="K357">
        <f>HYPERLINK("https://raw.githubusercontent.com/marcosmapl/dataset_imigrantes/main/noticias_filtered/g1/venezuelanos/2021/10_nov/html/g1_8ac19e64-2308-11ed-b24f-6dbe51e79fca_2390.html", "HTML")</f>
        <v/>
      </c>
      <c r="L357">
        <f>HYPERLINK("https://raw.githubusercontent.com/marcosmapl/dataset_imigrantes/main/noticias_filtered/g1/venezuelanos/2021/10_nov/txt/g1_8ac19e64-2308-11ed-b24f-6dbe51e79fca_2390.txt", "TXT")</f>
        <v/>
      </c>
    </row>
    <row r="358">
      <c r="A358" s="1" t="n">
        <v>356</v>
      </c>
      <c r="B358" t="n">
        <v>2021</v>
      </c>
      <c r="C358" s="2" t="n">
        <v>44503.95482390047</v>
      </c>
      <c r="D358" t="inlineStr">
        <is>
          <t>G1</t>
        </is>
      </c>
      <c r="E358" t="inlineStr">
        <is>
          <t>VENEZUELANOS</t>
        </is>
      </c>
      <c r="F358" t="inlineStr">
        <is>
          <t>MUNDO</t>
        </is>
      </c>
      <c r="G358" t="inlineStr">
        <is>
          <t>FRANCE PRESSE</t>
        </is>
      </c>
      <c r="H358" t="inlineStr">
        <is>
          <t>TPI ABRE INVESTIGAÇÃO CONTRA VENEZUELA POR CRIMES DE LESA-HUMANIDADE</t>
        </is>
      </c>
      <c r="I358" t="inlineStr">
        <is>
          <t>PROCURADOR DO TRIBUNAL PENAL INTERNACIONAL VISITOU NICOLÁS MADURO EM CARACAS PARA AVALIAR REPRESSÃO A MANIFESTANTES CONTRA O CHAVISMO. PRESIDENTE VENEZUELANO DISSE QUE ENCONTRO FOI CORDIAL E QUE RESPEITA DECISÃO DA CORTE DE HAIA, MAS CRITICA ANÁLISE DE INVESTIGADORES.</t>
        </is>
      </c>
      <c r="J358">
        <f>HYPERLINK("https://g1.globo.com/mundo/noticia/2021/11/03/tpi-abre-investigacao-contra-venezuela-por-crimes-de-lesa-humanidade.ghtml", "URL")</f>
        <v/>
      </c>
      <c r="K358">
        <f>HYPERLINK("https://raw.githubusercontent.com/marcosmapl/dataset_imigrantes/main/noticias_filtered/g1/venezuelanos/2021/10_nov/html/g1_1a481ddc-230f-11ed-b24f-6dbe51e79fca_2778.html", "HTML")</f>
        <v/>
      </c>
      <c r="L358">
        <f>HYPERLINK("https://raw.githubusercontent.com/marcosmapl/dataset_imigrantes/main/noticias_filtered/g1/venezuelanos/2021/10_nov/txt/g1_1a481ddc-230f-11ed-b24f-6dbe51e79fca_2778.txt", "TXT")</f>
        <v/>
      </c>
    </row>
    <row r="359">
      <c r="A359" s="1" t="n">
        <v>357</v>
      </c>
      <c r="B359" t="n">
        <v>2021</v>
      </c>
      <c r="C359" s="2" t="n">
        <v>44503.85404770833</v>
      </c>
      <c r="D359" t="inlineStr">
        <is>
          <t>G1</t>
        </is>
      </c>
      <c r="E359" t="inlineStr">
        <is>
          <t>VENEZUELANOS</t>
        </is>
      </c>
      <c r="F359" t="inlineStr">
        <is>
          <t>RONDÔNIA</t>
        </is>
      </c>
      <c r="G359" t="inlineStr">
        <is>
          <t>G1 RO</t>
        </is>
      </c>
      <c r="H359" t="inlineStr">
        <is>
          <t>MULHERES VENEZUELANAS REALIZAM FEIRA EM PORTO VELHO NA SEXTA (5)</t>
        </is>
      </c>
      <c r="I359" t="inlineStr">
        <is>
          <t>SERÃO VENDIDAS COMIDAS TÍPICAS, DOCES E ARTESANATOS. A FEIRA TAMBÉM VAI CONTAR COM APRESENTAÇÕES DE DANÇA E MÚSICAS.</t>
        </is>
      </c>
      <c r="J359">
        <f>HYPERLINK("https://g1.globo.com/ro/rondonia/noticia/2021/11/03/mulheres-venezuelanas-realizam-feira-em-porto-velho-na-sexta-5.ghtml", "URL")</f>
        <v/>
      </c>
      <c r="K359">
        <f>HYPERLINK("https://raw.githubusercontent.com/marcosmapl/dataset_imigrantes/main/noticias_filtered/g1/venezuelanos/2021/10_nov/html/g1_af8fa92c-2315-11ed-b24f-6dbe51e79fca_3100.html", "HTML")</f>
        <v/>
      </c>
      <c r="L359">
        <f>HYPERLINK("https://raw.githubusercontent.com/marcosmapl/dataset_imigrantes/main/noticias_filtered/g1/venezuelanos/2021/10_nov/txt/g1_af8fa92c-2315-11ed-b24f-6dbe51e79fca_3100.txt", "TXT")</f>
        <v/>
      </c>
    </row>
    <row r="360">
      <c r="A360" s="1" t="n">
        <v>358</v>
      </c>
      <c r="B360" t="n">
        <v>2021</v>
      </c>
      <c r="C360" s="2" t="n">
        <v>44498.95113015046</v>
      </c>
      <c r="D360" t="inlineStr">
        <is>
          <t>G1</t>
        </is>
      </c>
      <c r="E360" t="inlineStr">
        <is>
          <t>VENEZUELANOS</t>
        </is>
      </c>
      <c r="F360" t="inlineStr">
        <is>
          <t>RORAIMA</t>
        </is>
      </c>
      <c r="G360" t="inlineStr">
        <is>
          <t>G1 RR — BOA VISTA</t>
        </is>
      </c>
      <c r="H360" t="inlineStr">
        <is>
          <t>VÍTIMAS DE FACÇÃO VENEZUELANA COM NÚCLEO EM RR FORAM MORTAS EM ACERTOS DE CONTA, DIZ CIVIL</t>
        </is>
      </c>
      <c r="I360" t="inlineStr">
        <is>
          <t>AS CINCO VÍTIMAS, TODAS VENEZUELANAS, TINHAM DÍVIDAS COM A FACÇÃO. UMA DELAS DEIXOU DE PAGAR R$ 10 POR DROGAS. INVESTIGAÇÃO SOBRE AS MORTES MOTIVOU A OPERAÇÃO 'CUCHILLO', DEFLAGRADA NESSA SEXTA-FEIRA (29).</t>
        </is>
      </c>
      <c r="J360">
        <f>HYPERLINK("https://g1.globo.com/rr/roraima/noticia/2021/10/29/vitimas-de-faccao-venezuelana-com-nucleo-em-rr-foram-mortas-em-acertos-de-conta-diz-civil.ghtml", "URL")</f>
        <v/>
      </c>
      <c r="K360">
        <f>HYPERLINK("https://raw.githubusercontent.com/marcosmapl/dataset_imigrantes/main/noticias_filtered/g1/venezuelanos/2021/09_out/html/g1_13d9a460-2329-11ed-b24f-6dbe51e79fca_4098.html", "HTML")</f>
        <v/>
      </c>
      <c r="L360">
        <f>HYPERLINK("https://raw.githubusercontent.com/marcosmapl/dataset_imigrantes/main/noticias_filtered/g1/venezuelanos/2021/09_out/txt/g1_13d9a460-2329-11ed-b24f-6dbe51e79fca_4098.txt", "TXT")</f>
        <v/>
      </c>
    </row>
    <row r="361">
      <c r="A361" s="1" t="n">
        <v>359</v>
      </c>
      <c r="B361" t="n">
        <v>2021</v>
      </c>
      <c r="C361" s="2" t="n">
        <v>44498.65425597222</v>
      </c>
      <c r="D361" t="inlineStr">
        <is>
          <t>G1</t>
        </is>
      </c>
      <c r="E361" t="inlineStr">
        <is>
          <t>VENEZUELANOS</t>
        </is>
      </c>
      <c r="F361" t="inlineStr">
        <is>
          <t>RORAIMA</t>
        </is>
      </c>
      <c r="G361" t="inlineStr">
        <is>
          <t>G1 RR — BOA VISTA</t>
        </is>
      </c>
      <c r="H361" t="inlineStr">
        <is>
          <t>POLÍCIA CIVIL DEFLAGRA OPERAÇÃO CONTRA VENEZUELANOS MEMBROS DE FACÇÃO CRIMINOSA EM RORAIMA</t>
        </is>
      </c>
      <c r="I361" t="inlineStr">
        <is>
          <t>AO TODO, SÃO CUMPRIDOS 17 MANDADOS DE PRISÃO E TRÊS DE BUSCA E APREENSÃO. ALVOS SÃO SUSPEITOS DIRETOS DA EXECUÇÃO DE QUATRO PESSOAS, DAS QUAIS TRÊS DELAS POR ESQUARTEJAMENTO.</t>
        </is>
      </c>
      <c r="J361">
        <f>HYPERLINK("https://g1.globo.com/rr/roraima/noticia/2021/10/29/policia-civil-deflagra-operacao-contra-venezuelanos-membros-de-faccao-criminosa-em-roraima.ghtml", "URL")</f>
        <v/>
      </c>
      <c r="K361">
        <f>HYPERLINK("https://raw.githubusercontent.com/marcosmapl/dataset_imigrantes/main/noticias_filtered/g1/venezuelanos/2021/09_out/html/g1_359ca276-2312-11ed-b24f-6dbe51e79fca_2956.html", "HTML")</f>
        <v/>
      </c>
      <c r="L361">
        <f>HYPERLINK("https://raw.githubusercontent.com/marcosmapl/dataset_imigrantes/main/noticias_filtered/g1/venezuelanos/2021/09_out/txt/g1_359ca276-2312-11ed-b24f-6dbe51e79fca_2956.txt", "TXT")</f>
        <v/>
      </c>
    </row>
    <row r="362">
      <c r="A362" s="1" t="n">
        <v>360</v>
      </c>
      <c r="B362" t="n">
        <v>2021</v>
      </c>
      <c r="C362" s="2" t="n">
        <v>44497.66765267361</v>
      </c>
      <c r="D362" t="inlineStr">
        <is>
          <t>G1</t>
        </is>
      </c>
      <c r="E362" t="inlineStr">
        <is>
          <t>VENEZUELANOS</t>
        </is>
      </c>
      <c r="F362" t="inlineStr">
        <is>
          <t>MINAS GERAIS</t>
        </is>
      </c>
      <c r="G362" t="inlineStr">
        <is>
          <t>ERNANE FIUZA, TV GLOBO — BELO HORIZONTE</t>
        </is>
      </c>
      <c r="H362" t="inlineStr">
        <is>
          <t>MINISTÉRIO PÚBLICO INSPECIONA ABRIGO SÃO PAULO, EM BH, ONDE ESTÁ GRUPO DE INDÍGENAS VENEZUELANOS</t>
        </is>
      </c>
      <c r="I362" t="inlineStr">
        <is>
          <t>INÚMEROS INDÍGENAS ADOECERAM E UMA CRIANÇA DE 1 ANO E 7 MESES MORREU NO ÚLTIMO DIA 22. O MUNICÍPIO VAI TER QUE APRESENTAR UM PLANO DE AÇÃO ATÉ O DIA 12 DE NOVEMBRO.</t>
        </is>
      </c>
      <c r="J362">
        <f>HYPERLINK("https://g1.globo.com/mg/minas-gerais/noticia/2021/10/28/ministerio-publico-inspeciona-abrigo-sao-paulo-em-bh-onde-esta-grupo-de-indigenas-venezuelanos.ghtml", "URL")</f>
        <v/>
      </c>
      <c r="K362">
        <f>HYPERLINK("https://raw.githubusercontent.com/marcosmapl/dataset_imigrantes/main/noticias_filtered/g1/venezuelanos/2021/09_out/html/g1_54999de6-230d-11ed-b24f-6dbe51e79fca_2681.html", "HTML")</f>
        <v/>
      </c>
      <c r="L362">
        <f>HYPERLINK("https://raw.githubusercontent.com/marcosmapl/dataset_imigrantes/main/noticias_filtered/g1/venezuelanos/2021/09_out/txt/g1_54999de6-230d-11ed-b24f-6dbe51e79fca_2681.txt", "TXT")</f>
        <v/>
      </c>
    </row>
    <row r="363">
      <c r="A363" s="1" t="n">
        <v>361</v>
      </c>
      <c r="B363" t="n">
        <v>2021</v>
      </c>
      <c r="C363" s="2" t="n">
        <v>44497.66233796296</v>
      </c>
      <c r="D363" t="inlineStr">
        <is>
          <t>A CRITICA</t>
        </is>
      </c>
      <c r="E363" t="inlineStr">
        <is>
          <t>VENEZUELANOS</t>
        </is>
      </c>
      <c r="F363" t="inlineStr"/>
      <c r="G363" t="inlineStr">
        <is>
          <t>PORTAL A CRÍTICA</t>
        </is>
      </c>
      <c r="H363" t="inlineStr">
        <is>
          <t>HISTÓRIA DE ARTESÃ WARAÓ ESTÁ EM MINIDOCUMENTÁRIO SOBRE OS ARTISTAS DE MOSTRA DE ARTE INDÍGENA</t>
        </is>
      </c>
      <c r="I363" t="inlineStr">
        <is>
          <t>A MOSTRA ACONTECE ATÉ O DIA 29 DE OUTUBRO, NA GALERIA DO PALÁCIO RIO BRANCO, PRAÇA DOM PEDRO II, CENTRO HISTÓRICO</t>
        </is>
      </c>
      <c r="J363">
        <f>HYPERLINK("https://www.acritica.com/historia-de-artes-warao-esta-em-minidocumentario-sobre-os-artistas-de-mostra-de-arte-indigena-1.7576", "URL")</f>
        <v/>
      </c>
      <c r="K363">
        <f>HYPERLINK("https://raw.githubusercontent.com/marcosmapl/dataset_imigrantes/main/noticias_filtered/a_critica/venezuelanos/2021/09_out/html/1.7576_190.html", "HTML")</f>
        <v/>
      </c>
      <c r="L363">
        <f>HYPERLINK("https://raw.githubusercontent.com/marcosmapl/dataset_imigrantes/main/noticias_filtered/a_critica/venezuelanos/2021/09_out/txt/1.7576_190.txt", "TXT")</f>
        <v/>
      </c>
    </row>
    <row r="364">
      <c r="A364" s="1" t="n">
        <v>362</v>
      </c>
      <c r="B364" t="n">
        <v>2021</v>
      </c>
      <c r="C364" s="2" t="n">
        <v>44496.83233957176</v>
      </c>
      <c r="D364" t="inlineStr">
        <is>
          <t>G1</t>
        </is>
      </c>
      <c r="E364" t="inlineStr">
        <is>
          <t>VENEZUELANOS</t>
        </is>
      </c>
      <c r="F364" t="inlineStr">
        <is>
          <t>MUNDO</t>
        </is>
      </c>
      <c r="G364" t="inlineStr">
        <is>
          <t>G1</t>
        </is>
      </c>
      <c r="H364" t="inlineStr">
        <is>
          <t>MADURO CHAMA BOLSONARO DE IMBECIL POR DIZER QUE VACINA PROVOCA AIDS; VEJA VÍDEO</t>
        </is>
      </c>
      <c r="I364" t="inlineStr">
        <is>
          <t>PRESIDENTE VENEZUELANO CRITICOU O BRASILEIRO DURANTE UMA TRANSMISSÃO FEITA PELA TELEVISÃO ESTATAL.</t>
        </is>
      </c>
      <c r="J364">
        <f>HYPERLINK("https://g1.globo.com/mundo/noticia/2021/10/27/maduro-chama-bolsonaro-de-imbecil-por-dizer-que-vacina-provoca-aids.ghtml", "URL")</f>
        <v/>
      </c>
      <c r="K364">
        <f>HYPERLINK("https://raw.githubusercontent.com/marcosmapl/dataset_imigrantes/main/noticias_filtered/g1/venezuelanos/2021/09_out/html/g1_bf5e7d9e-2313-11ed-b24f-6dbe51e79fca_3023.html", "HTML")</f>
        <v/>
      </c>
      <c r="L364">
        <f>HYPERLINK("https://raw.githubusercontent.com/marcosmapl/dataset_imigrantes/main/noticias_filtered/g1/venezuelanos/2021/09_out/txt/g1_bf5e7d9e-2313-11ed-b24f-6dbe51e79fca_3023.txt", "TXT")</f>
        <v/>
      </c>
    </row>
    <row r="365">
      <c r="A365" s="1" t="n">
        <v>363</v>
      </c>
      <c r="B365" t="n">
        <v>2021</v>
      </c>
      <c r="C365" s="2" t="n">
        <v>44496.6936305787</v>
      </c>
      <c r="D365" t="inlineStr">
        <is>
          <t>G1</t>
        </is>
      </c>
      <c r="E365" t="inlineStr">
        <is>
          <t>VENEZUELANOS</t>
        </is>
      </c>
      <c r="F365" t="inlineStr">
        <is>
          <t>MINAS GERAIS</t>
        </is>
      </c>
      <c r="G365" t="inlineStr">
        <is>
          <t>ERNANE FIUZA, TV GLOBO — BELO HORIZONTE</t>
        </is>
      </c>
      <c r="H365" t="inlineStr">
        <is>
          <t>MORTE DE BEBÊ INDÍGENA DE GRUPO VENEZUELANO EM ABRIGO DE BH SERÁ INVESTIGADA, DIZ PREFEITURA</t>
        </is>
      </c>
      <c r="I365" t="inlineStr">
        <is>
          <t>DESDE A CHEGADA DO GRUPO, NO DIA 28 DE SETEMBRO, INÚMEROS INDÍGENAS ADOECERAM. CRIANÇA DE 1 ANO E 7 MESES MORREU NO ÚLTIMO DIA 22. O MUNICÍPIO VAI TER QUE APRESENTAR UM PLANO DE AÇÃO ATÉ O DIA 12 DE NOVEMBRO.</t>
        </is>
      </c>
      <c r="J365">
        <f>HYPERLINK("https://g1.globo.com/mg/minas-gerais/noticia/2021/10/27/morte-de-bebe-indigena-de-grupo-venezuelano-em-abrigo-de-bh-sera-investigada-diz-prefeitura.ghtml", "URL")</f>
        <v/>
      </c>
      <c r="K365">
        <f>HYPERLINK("https://raw.githubusercontent.com/marcosmapl/dataset_imigrantes/main/noticias_filtered/g1/venezuelanos/2021/09_out/html/g1_6fa8987a-2318-11ed-b24f-6dbe51e79fca_3260.html", "HTML")</f>
        <v/>
      </c>
      <c r="L365">
        <f>HYPERLINK("https://raw.githubusercontent.com/marcosmapl/dataset_imigrantes/main/noticias_filtered/g1/venezuelanos/2021/09_out/txt/g1_6fa8987a-2318-11ed-b24f-6dbe51e79fca_3260.txt", "TXT")</f>
        <v/>
      </c>
    </row>
    <row r="366">
      <c r="A366" s="1" t="n">
        <v>364</v>
      </c>
      <c r="B366" t="n">
        <v>2021</v>
      </c>
      <c r="C366" s="2" t="n">
        <v>44495.90396982639</v>
      </c>
      <c r="D366" t="inlineStr">
        <is>
          <t>G1</t>
        </is>
      </c>
      <c r="E366" t="inlineStr">
        <is>
          <t>VENEZUELANOS</t>
        </is>
      </c>
      <c r="F366" t="inlineStr">
        <is>
          <t>MINAS GERAIS</t>
        </is>
      </c>
      <c r="G366" t="inlineStr">
        <is>
          <t>FRED BOTTREL, TV GLOBO — BELO HORIZONTE</t>
        </is>
      </c>
      <c r="H366" t="inlineStr">
        <is>
          <t>BEBÊ INDÍGENA DE GRUPO VENEZUELANO MORRE DE COVID-19 E DEFENSORIA PÚBLICA COBRA PROVIDÊNCIAS</t>
        </is>
      </c>
      <c r="I366" t="inlineStr">
        <is>
          <t>RELATÓRIO DENUNCIA QUE REFUGIADOS ESTÃO "AMONTOADOS EM CONDIÇÕES INSALUBRES". A MAIOR PARTE DO GRUPO É DE MULHERES, GESTANTES E CRIANÇAS. VENEZUELANOS DA ETNIA WARAO ESTÃO EM ABRIGO DESTINADO A PESSOAS SEM-TETO.</t>
        </is>
      </c>
      <c r="J366">
        <f>HYPERLINK("https://g1.globo.com/mg/minas-gerais/noticia/2021/10/26/bebe-indigena-de-grupo-venezuelano-morre-de-covid-19-e-defensoria-publica-cobra-providencias.ghtml", "URL")</f>
        <v/>
      </c>
      <c r="K366">
        <f>HYPERLINK("https://raw.githubusercontent.com/marcosmapl/dataset_imigrantes/main/noticias_filtered/g1/venezuelanos/2021/09_out/html/g1_dd08b9d8-2311-11ed-b24f-6dbe51e79fca_2938.html", "HTML")</f>
        <v/>
      </c>
      <c r="L366">
        <f>HYPERLINK("https://raw.githubusercontent.com/marcosmapl/dataset_imigrantes/main/noticias_filtered/g1/venezuelanos/2021/09_out/txt/g1_dd08b9d8-2311-11ed-b24f-6dbe51e79fca_2938.txt", "TXT")</f>
        <v/>
      </c>
    </row>
    <row r="367">
      <c r="A367" s="1" t="n">
        <v>365</v>
      </c>
      <c r="B367" t="n">
        <v>2021</v>
      </c>
      <c r="C367" s="2" t="n">
        <v>44495.7408431713</v>
      </c>
      <c r="D367" t="inlineStr">
        <is>
          <t>G1</t>
        </is>
      </c>
      <c r="E367" t="inlineStr">
        <is>
          <t>VENEZUELANOS</t>
        </is>
      </c>
      <c r="F367" t="inlineStr">
        <is>
          <t>RORAIMA</t>
        </is>
      </c>
      <c r="G367" t="inlineStr">
        <is>
          <t>G1 RR — BOA VISTA</t>
        </is>
      </c>
      <c r="H367" t="inlineStr">
        <is>
          <t>VENEZUELANO É MORTO A TIROS EM ESTACIONAMENTO DE SUPERMERCADO NA ZONA OESTE DE BOA VISTA</t>
        </is>
      </c>
      <c r="I367" t="inlineStr">
        <is>
          <t>HOLMER EDUARDO CONTRERAS, DE 36 ANOS, FOI MORTO NA NOITE DESSA SEGUNDA-FEIRA (25), NO BAIRRO CARANÃ.</t>
        </is>
      </c>
      <c r="J367">
        <f>HYPERLINK("https://g1.globo.com/rr/roraima/noticia/2021/10/26/venezuelano-e-morto-a-tiros-em-estacionamento-de-supermercado-na-zona-oeste-de-boa-vista.ghtml", "URL")</f>
        <v/>
      </c>
      <c r="K367">
        <f>HYPERLINK("https://raw.githubusercontent.com/marcosmapl/dataset_imigrantes/main/noticias_filtered/g1/venezuelanos/2021/09_out/html/g1_c278ca40-2311-11ed-b24f-6dbe51e79fca_2933.html", "HTML")</f>
        <v/>
      </c>
      <c r="L367">
        <f>HYPERLINK("https://raw.githubusercontent.com/marcosmapl/dataset_imigrantes/main/noticias_filtered/g1/venezuelanos/2021/09_out/txt/g1_c278ca40-2311-11ed-b24f-6dbe51e79fca_2933.txt", "TXT")</f>
        <v/>
      </c>
    </row>
    <row r="368">
      <c r="A368" s="1" t="n">
        <v>366</v>
      </c>
      <c r="B368" t="n">
        <v>2021</v>
      </c>
      <c r="C368" s="2" t="n">
        <v>44495.53451324074</v>
      </c>
      <c r="D368" t="inlineStr">
        <is>
          <t>G1</t>
        </is>
      </c>
      <c r="E368" t="inlineStr">
        <is>
          <t>HAITIANOS</t>
        </is>
      </c>
      <c r="F368" t="inlineStr">
        <is>
          <t>NORTE E NOROESTE</t>
        </is>
      </c>
      <c r="G368" t="inlineStr">
        <is>
          <t>RPC MARINGÁ</t>
        </is>
      </c>
      <c r="H368" t="inlineStr">
        <is>
          <t>EMBAIXADA DO HAITI EM MARINGÁ REALIZA MUTIRÃO PARA REGULARIZAÇÃO DE DOCUMENTOS DE HAITIANOS</t>
        </is>
      </c>
      <c r="I368" t="inlineStr">
        <is>
          <t>AÇÃO OCORRE NESTA TERÇA (26) E TAMBÉM NA QUARTA-FEIRA (27); OBJETIVO É ATENDER COMUNIDADE HAITIANO NA CIDADE E NA REGIÃO QUE PRECISA ATUALIZAR DOCUMENTAÇÃO.</t>
        </is>
      </c>
      <c r="J368">
        <f>HYPERLINK("https://g1.globo.com/pr/norte-noroeste/noticia/2021/10/26/embaixada-do-haiti-em-maringa-realiza-mutirao-para-regularizacao-de-documentos-de-haitianos.ghtml", "URL")</f>
        <v/>
      </c>
      <c r="K368">
        <f>HYPERLINK("https://raw.githubusercontent.com/marcosmapl/dataset_imigrantes/main/noticias_filtered/g1/haitianos/2021/09_out/html/g1_1f20a064-2322-11ed-b24f-6dbe51e79fca_3735.html", "HTML")</f>
        <v/>
      </c>
      <c r="L368">
        <f>HYPERLINK("https://raw.githubusercontent.com/marcosmapl/dataset_imigrantes/main/noticias_filtered/g1/haitianos/2021/09_out/txt/g1_1f20a064-2322-11ed-b24f-6dbe51e79fca_3735.txt", "TXT")</f>
        <v/>
      </c>
    </row>
    <row r="369">
      <c r="A369" s="1" t="n">
        <v>367</v>
      </c>
      <c r="B369" t="n">
        <v>2021</v>
      </c>
      <c r="C369" s="2" t="n">
        <v>44495.33433351852</v>
      </c>
      <c r="D369" t="inlineStr">
        <is>
          <t>G1</t>
        </is>
      </c>
      <c r="E369" t="inlineStr">
        <is>
          <t>VENEZUELANOS</t>
        </is>
      </c>
      <c r="F369" t="inlineStr">
        <is>
          <t>RIO DE JANEIRO</t>
        </is>
      </c>
      <c r="G369" t="inlineStr">
        <is>
          <t>ELIANE SANTOS, G1 RIO</t>
        </is>
      </c>
      <c r="H369" t="inlineStr">
        <is>
          <t>FORAGIDA, VENEZUELANA CASADA COM ‘FARAÓ DOS BITCOINS’ ERA O CÉREBRO POR TRÁS DAS OPERAÇÕES FINANCEIRAS, APONTA DENÚNCIA</t>
        </is>
      </c>
      <c r="I369" t="inlineStr">
        <is>
          <t>MIRELIS YOSELINE DIAZ ZERPA, DE 38 ANOS, ESCAPOU DA PRISÃO NO BRASIL E FUGIU PARA OS EUA. SEGUNDO O MPF, ELA TEM 'AMPLO CONHECIMENTO DO MERCADO DE CRIPTOMOEDAS E ACESSO ÀS CARTEIRAS DE INVESTIMENTO'.</t>
        </is>
      </c>
      <c r="J369">
        <f>HYPERLINK("https://g1.globo.com/rj/rio-de-janeiro/noticia/2021/10/26/foragida-venezuelana-casada-com-farao-dos-bitcoins-era-o-cerebro-por-tras-das-operacoes-financeiras-aponta-denuncia.ghtml", "URL")</f>
        <v/>
      </c>
      <c r="K369">
        <f>HYPERLINK("https://raw.githubusercontent.com/marcosmapl/dataset_imigrantes/main/noticias_filtered/g1/venezuelanos/2021/09_out/html/g1_baacd2f0-230e-11ed-b24f-6dbe51e79fca_2753.html", "HTML")</f>
        <v/>
      </c>
      <c r="L369">
        <f>HYPERLINK("https://raw.githubusercontent.com/marcosmapl/dataset_imigrantes/main/noticias_filtered/g1/venezuelanos/2021/09_out/txt/g1_baacd2f0-230e-11ed-b24f-6dbe51e79fca_2753.txt", "TXT")</f>
        <v/>
      </c>
    </row>
    <row r="370">
      <c r="A370" s="1" t="n">
        <v>368</v>
      </c>
      <c r="B370" t="n">
        <v>2021</v>
      </c>
      <c r="C370" s="2" t="n">
        <v>44494.59140046296</v>
      </c>
      <c r="D370" t="inlineStr">
        <is>
          <t>A CRITICA</t>
        </is>
      </c>
      <c r="E370" t="inlineStr">
        <is>
          <t>VENEZUELANOS</t>
        </is>
      </c>
      <c r="F370" t="inlineStr"/>
      <c r="G370" t="inlineStr">
        <is>
          <t>FILIPE TÁVORA</t>
        </is>
      </c>
      <c r="H370" t="inlineStr">
        <is>
          <t>CORPO DE VENEZUELANO DE 20 ANOS É ENCONTRADO NO CACAU PIRÊRA</t>
        </is>
      </c>
      <c r="I370" t="inlineStr">
        <is>
          <t>SEGUNDO A POLÍCIA CIVIL, CADÁVER DO JOVEM FOI ENCONTRADO COM AS MÃOS E PÉS AMARRADOS. PC ACREDITA EM ACERTO DE CONTAS</t>
        </is>
      </c>
      <c r="J370">
        <f>HYPERLINK("https://www.acritica.com/corpo-de-venezuelano-de-20-anos-e-encontrado-no-cacau-pirera-1.7735", "URL")</f>
        <v/>
      </c>
      <c r="K370">
        <f>HYPERLINK("https://raw.githubusercontent.com/marcosmapl/dataset_imigrantes/main/noticias_filtered/a_critica/venezuelanos/2021/09_out/html/1.7735_388.html", "HTML")</f>
        <v/>
      </c>
      <c r="L370">
        <f>HYPERLINK("https://raw.githubusercontent.com/marcosmapl/dataset_imigrantes/main/noticias_filtered/a_critica/venezuelanos/2021/09_out/txt/1.7735_388.txt", "TXT")</f>
        <v/>
      </c>
    </row>
    <row r="371">
      <c r="A371" s="1" t="n">
        <v>369</v>
      </c>
      <c r="B371" t="n">
        <v>2021</v>
      </c>
      <c r="C371" s="2" t="n">
        <v>44494.41723901621</v>
      </c>
      <c r="D371" t="inlineStr">
        <is>
          <t>G1</t>
        </is>
      </c>
      <c r="E371" t="inlineStr">
        <is>
          <t>VENEZUELANOS</t>
        </is>
      </c>
      <c r="F371" t="inlineStr">
        <is>
          <t>RORAIMA</t>
        </is>
      </c>
      <c r="G371" t="inlineStr">
        <is>
          <t>CAÍQUE RODRIGUES, G1 RR — BOA VISTA</t>
        </is>
      </c>
      <c r="H371" t="inlineStr">
        <is>
          <t>VENEZUELANO PEDALA DO ALASCA ATÉ RORAIMA PARA ARRECADAR FUNDOS PARA INSTITUIÇÃO: 'VIAJAR É MINHA VIDA'</t>
        </is>
      </c>
      <c r="I371" t="inlineStr">
        <is>
          <t>RÓMULO PIZZICA, DE 56 ANOS, JÁ CONHECEU OS SEIS CONTINENTES E MAIS DE 50 PAÍSES APENAS COM SUA BICICLETA. A CAMPANHA DO CICLISTA BUSCA ARRECADAR FUNDOS PARA A FUNDAÇÃO "ALDEAS INFANTILES SOS VENEZUELA", QUE AJUDA CRIANÇAS NO PAÍS.</t>
        </is>
      </c>
      <c r="J371">
        <f>HYPERLINK("https://g1.globo.com/rr/roraima/noticia/2021/10/25/venezuelano-pedala-do-alasca-ate-roraima-para-arrecadar-fundos-para-instituicao-viajar-e-minha-vida.ghtml", "URL")</f>
        <v/>
      </c>
      <c r="K371">
        <f>HYPERLINK("https://raw.githubusercontent.com/marcosmapl/dataset_imigrantes/main/noticias_filtered/g1/venezuelanos/2021/09_out/html/g1_4595bf70-2315-11ed-b24f-6dbe51e79fca_3076.html", "HTML")</f>
        <v/>
      </c>
      <c r="L371">
        <f>HYPERLINK("https://raw.githubusercontent.com/marcosmapl/dataset_imigrantes/main/noticias_filtered/g1/venezuelanos/2021/09_out/txt/g1_4595bf70-2315-11ed-b24f-6dbe51e79fca_3076.txt", "TXT")</f>
        <v/>
      </c>
    </row>
    <row r="372">
      <c r="A372" s="1" t="n">
        <v>370</v>
      </c>
      <c r="B372" t="n">
        <v>2021</v>
      </c>
      <c r="C372" s="2" t="n">
        <v>44492.95738049768</v>
      </c>
      <c r="D372" t="inlineStr">
        <is>
          <t>G1</t>
        </is>
      </c>
      <c r="E372" t="inlineStr">
        <is>
          <t>VENEZUELANOS</t>
        </is>
      </c>
      <c r="F372" t="inlineStr">
        <is>
          <t>MINAS GERAIS</t>
        </is>
      </c>
      <c r="G372" t="inlineStr">
        <is>
          <t>MG2 — BELO HORIZONTE</t>
        </is>
      </c>
      <c r="H372" t="inlineStr">
        <is>
          <t>EM TRÊS ANOS, QUASE 300 REFUGIADOS VENEZUELANOS SÃO ACOLHIDOS EM BELO HORIZONTE</t>
        </is>
      </c>
      <c r="I372" t="inlineStr">
        <is>
          <t>NESTE DOMINGO, UM GRUPO COM 21 HOMENS CHEGA À CAPITAL.</t>
        </is>
      </c>
      <c r="J372">
        <f>HYPERLINK("https://g1.globo.com/mg/minas-gerais/noticia/2021/10/23/em-tres-anos-quase-300-refugiados-venezuelanos-sao-acolhidos-em-belo-horizonte.ghtml", "URL")</f>
        <v/>
      </c>
      <c r="K372">
        <f>HYPERLINK("https://raw.githubusercontent.com/marcosmapl/dataset_imigrantes/main/noticias_filtered/g1/venezuelanos/2021/09_out/html/g1_2d6219b4-2322-11ed-b24f-6dbe51e79fca_3739.html", "HTML")</f>
        <v/>
      </c>
      <c r="L372">
        <f>HYPERLINK("https://raw.githubusercontent.com/marcosmapl/dataset_imigrantes/main/noticias_filtered/g1/venezuelanos/2021/09_out/txt/g1_2d6219b4-2322-11ed-b24f-6dbe51e79fca_3739.txt", "TXT")</f>
        <v/>
      </c>
    </row>
    <row r="373">
      <c r="A373" s="1" t="n">
        <v>371</v>
      </c>
      <c r="B373" t="n">
        <v>2021</v>
      </c>
      <c r="C373" s="2" t="n">
        <v>44492.7195775</v>
      </c>
      <c r="D373" t="inlineStr">
        <is>
          <t>G1</t>
        </is>
      </c>
      <c r="E373" t="inlineStr">
        <is>
          <t>VENEZUELANOS</t>
        </is>
      </c>
      <c r="F373" t="inlineStr">
        <is>
          <t>RONDÔNIA</t>
        </is>
      </c>
      <c r="G373" t="inlineStr">
        <is>
          <t>G1 RO</t>
        </is>
      </c>
      <c r="H373" t="inlineStr">
        <is>
          <t>TRAFICANTE QUE SE PASSAVA POR MONTADOR DE MÓVEIS ACABA PRESO EM OPERAÇÃO POLICIAL EM NOVA MAMORÉ, RO</t>
        </is>
      </c>
      <c r="I373" t="inlineStr">
        <is>
          <t>HOMEM DE 28 ANOS ERA CONSIDERADO UM DOS MAIORES VENDEDORES DE DROGAS NA CIDADE. POLÍCIA CIVIL PRENDEU UM VENEZUELANO POR TRÁFICO NA MESMA AÇÃO.</t>
        </is>
      </c>
      <c r="J373">
        <f>HYPERLINK("https://g1.globo.com/ro/rondonia/noticia/2021/10/23/traficante-que-se-passava-por-montador-de-moveis-acaba-preso-em-operacao-policial-em-nova-mamore-ro.ghtml", "URL")</f>
        <v/>
      </c>
      <c r="K373">
        <f>HYPERLINK("https://raw.githubusercontent.com/marcosmapl/dataset_imigrantes/main/noticias_filtered/g1/venezuelanos/2021/09_out/html/g1_f5c21a38-231f-11ed-b24f-6dbe51e79fca_3654.html", "HTML")</f>
        <v/>
      </c>
      <c r="L373">
        <f>HYPERLINK("https://raw.githubusercontent.com/marcosmapl/dataset_imigrantes/main/noticias_filtered/g1/venezuelanos/2021/09_out/txt/g1_f5c21a38-231f-11ed-b24f-6dbe51e79fca_3654.txt", "TXT")</f>
        <v/>
      </c>
    </row>
    <row r="374">
      <c r="A374" s="1" t="n">
        <v>372</v>
      </c>
      <c r="B374" t="n">
        <v>2021</v>
      </c>
      <c r="C374" s="2" t="n">
        <v>44492.58888888889</v>
      </c>
      <c r="D374" t="inlineStr">
        <is>
          <t>A CRITICA</t>
        </is>
      </c>
      <c r="E374" t="inlineStr">
        <is>
          <t>VENEZUELANOS</t>
        </is>
      </c>
      <c r="F374" t="inlineStr"/>
      <c r="G374" t="inlineStr">
        <is>
          <t>LUCAS VASCONCELOS</t>
        </is>
      </c>
      <c r="H374" t="inlineStr">
        <is>
          <t>'ACOLHEDORA E CHEIA DE OPORTUNIDADES', AFIRMA ADVOGADO IMIGRANTE VENEZUELANO SOBRE MANAUS</t>
        </is>
      </c>
      <c r="I374" t="inlineStr">
        <is>
          <t>MAIS DE 5 MILHÕES DE REFUGIADOS VENEZUELANOS ESTÃO ESPALHADOS AO REDOR DO MUNDO, SEGUNDO DADOS DA AGÊNCIA DE NAÇÕES UNIDAS PARA OS REFUGIADOS (ACNUR)</t>
        </is>
      </c>
      <c r="J374">
        <f>HYPERLINK("https://www.acritica.com/acolhedora-e-cheia-de-oportunidades-afirma-advogado-imigrante-venezuelano-sobre-manaus-1.5962", "URL")</f>
        <v/>
      </c>
      <c r="K374">
        <f>HYPERLINK("https://raw.githubusercontent.com/marcosmapl/dataset_imigrantes/main/noticias_filtered/a_critica/venezuelanos/2021/09_out/html/1.5962_1261.html", "HTML")</f>
        <v/>
      </c>
      <c r="L374">
        <f>HYPERLINK("https://raw.githubusercontent.com/marcosmapl/dataset_imigrantes/main/noticias_filtered/a_critica/venezuelanos/2021/09_out/txt/1.5962_1261.txt", "TXT")</f>
        <v/>
      </c>
    </row>
    <row r="375">
      <c r="A375" s="1" t="n">
        <v>373</v>
      </c>
      <c r="B375" t="n">
        <v>2021</v>
      </c>
      <c r="C375" s="2" t="n">
        <v>44490.55380637731</v>
      </c>
      <c r="D375" t="inlineStr">
        <is>
          <t>G1</t>
        </is>
      </c>
      <c r="E375" t="inlineStr">
        <is>
          <t>HAITIANOS</t>
        </is>
      </c>
      <c r="F375" t="inlineStr">
        <is>
          <t>MUNDO</t>
        </is>
      </c>
      <c r="G375" t="inlineStr">
        <is>
          <t>BBC</t>
        </is>
      </c>
      <c r="H375" t="inlineStr">
        <is>
          <t>'FORAM 4 DIAS SÓ COM LEITE E ÁGUA': O DRAMA DAS CRIANÇAS BRASILEIRAS DEPORTADAS AO HAITI QUE O BRASIL QUER REPATRIAR</t>
        </is>
      </c>
      <c r="I375" t="inlineStr">
        <is>
          <t>84 CRIANÇAS BRASILEIRAS FORAM ENVIADAS PARA O HAITI PELOS EUA, E GOVERNO BRASILEIRO QUER TRAZÊ-LAS AO BRASIL EM DEZ DIAS. NO MÉXICO, HÁ OUTRAS 1,7 MIL CRIANÇAS HAITIANO-BRASILEIRAS QUE PODEM CRUZAR A FRONTEIRA COM OS EUA A QUALQUER MOMENTO.</t>
        </is>
      </c>
      <c r="J375">
        <f>HYPERLINK("https://g1.globo.com/mundo/noticia/2021/10/21/foram-4-dias-so-com-leite-e-agua-o-drama-das-criancas-brasileiras-deportadas-ao-haiti-que-o-brasil-quer-repatriar.ghtml", "URL")</f>
        <v/>
      </c>
      <c r="K375">
        <f>HYPERLINK("https://raw.githubusercontent.com/marcosmapl/dataset_imigrantes/main/noticias_filtered/g1/haitianos/2021/09_out/html/g1_cfa16aec-22f8-11ed-b24f-6dbe51e79fca_2159.html", "HTML")</f>
        <v/>
      </c>
      <c r="L375">
        <f>HYPERLINK("https://raw.githubusercontent.com/marcosmapl/dataset_imigrantes/main/noticias_filtered/g1/haitianos/2021/09_out/txt/g1_cfa16aec-22f8-11ed-b24f-6dbe51e79fca_2159.txt", "TXT")</f>
        <v/>
      </c>
    </row>
    <row r="376">
      <c r="A376" s="1" t="n">
        <v>374</v>
      </c>
      <c r="B376" t="n">
        <v>2021</v>
      </c>
      <c r="C376" s="2" t="n">
        <v>44489.71593805555</v>
      </c>
      <c r="D376" t="inlineStr">
        <is>
          <t>G1</t>
        </is>
      </c>
      <c r="E376" t="inlineStr">
        <is>
          <t>HAITIANOS</t>
        </is>
      </c>
      <c r="F376" t="inlineStr">
        <is>
          <t>SANTA CATARINA</t>
        </is>
      </c>
      <c r="G376" t="inlineStr">
        <is>
          <t>CAROLINE BORGES, SABRINA QUARINIRI E GULHERME BARBOSA, G1 SC, NSC E NSC TV</t>
        </is>
      </c>
      <c r="H376" t="inlineStr">
        <is>
          <t>DENÚNCIA DE XENOFOBIA CONTRA FUNCIONÁRIO HAITIANO DE INDÚSTRIA EM SC É INVESTIGADA PELA POLÍCIA</t>
        </is>
      </c>
      <c r="I376" t="inlineStr">
        <is>
          <t>MAKENDRO LOUTE, 30 ANOS, DISSE QUE FOI VÍTIMA DE PRECONCEITO NA INDÚSTRIA EM QUE TRABALHA, NO DIA 6 DE OUTUBRO. ELE FEZ UM BOLETIM DE OCORRÊNCIA.</t>
        </is>
      </c>
      <c r="J376">
        <f>HYPERLINK("https://g1.globo.com/sc/santa-catarina/noticia/2021/10/20/denuncia-de-xenofobia-contra-funcionario-haitiano-de-industria-em-joinville-e-investigada-pela-policia.ghtml", "URL")</f>
        <v/>
      </c>
      <c r="K376">
        <f>HYPERLINK("https://raw.githubusercontent.com/marcosmapl/dataset_imigrantes/main/noticias_filtered/g1/haitianos/2021/09_out/html/g1_7f97285e-22f6-11ed-b24f-6dbe51e79fca_2017.html", "HTML")</f>
        <v/>
      </c>
      <c r="L376">
        <f>HYPERLINK("https://raw.githubusercontent.com/marcosmapl/dataset_imigrantes/main/noticias_filtered/g1/haitianos/2021/09_out/txt/g1_7f97285e-22f6-11ed-b24f-6dbe51e79fca_2017.txt", "TXT")</f>
        <v/>
      </c>
    </row>
    <row r="377">
      <c r="A377" s="1" t="n">
        <v>375</v>
      </c>
      <c r="B377" t="n">
        <v>2021</v>
      </c>
      <c r="C377" s="2" t="n">
        <v>44489.04352521991</v>
      </c>
      <c r="D377" t="inlineStr">
        <is>
          <t>G1</t>
        </is>
      </c>
      <c r="E377" t="inlineStr">
        <is>
          <t>VENEZUELANOS</t>
        </is>
      </c>
      <c r="F377" t="inlineStr">
        <is>
          <t>MUNDO</t>
        </is>
      </c>
      <c r="G377" t="inlineStr">
        <is>
          <t>G1</t>
        </is>
      </c>
      <c r="H377" t="inlineStr">
        <is>
          <t>SELEÇÃO BRASILEIRA VOOU COM EMPRESA AÉREA DE CAPITAL VENEZUELANO MONITORADA POR AUTORIDADES, DIZ JORNAL</t>
        </is>
      </c>
      <c r="I377" t="inlineStr">
        <is>
          <t>A GCA AIRLINES TEM HISTÓRICO DE FALTA DE PAGAMENTO A FUNCIONÁRIOS, SEGUNDO APUROU O 'EL TIEMPO'. COMPANHIA É AFILIADA DE EMPRESA VENEZUELANA EM 'LISTA NEGRA' DOS EUA E DA UNIÃO EUROPEIA POR FALTA DE SEGURANÇA E POR LIGAÇÕES COM O GOVERNO DE NICOLÁS MADURO.</t>
        </is>
      </c>
      <c r="J377">
        <f>HYPERLINK("https://g1.globo.com/mundo/noticia/2021/10/19/selecao-brasileira-voou-com-empresa-aerea-de-capital-venezuelano-monitorada-por-autoridades-diz-jornal.ghtml", "URL")</f>
        <v/>
      </c>
      <c r="K377">
        <f>HYPERLINK("https://raw.githubusercontent.com/marcosmapl/dataset_imigrantes/main/noticias_filtered/g1/venezuelanos/2021/09_out/html/g1_ac382f00-230c-11ed-b24f-6dbe51e79fca_2640.html", "HTML")</f>
        <v/>
      </c>
      <c r="L377">
        <f>HYPERLINK("https://raw.githubusercontent.com/marcosmapl/dataset_imigrantes/main/noticias_filtered/g1/venezuelanos/2021/09_out/txt/g1_ac382f00-230c-11ed-b24f-6dbe51e79fca_2640.txt", "TXT")</f>
        <v/>
      </c>
    </row>
    <row r="378">
      <c r="A378" s="1" t="n">
        <v>376</v>
      </c>
      <c r="B378" t="n">
        <v>2021</v>
      </c>
      <c r="C378" s="2" t="n">
        <v>44488.93081018519</v>
      </c>
      <c r="D378" t="inlineStr">
        <is>
          <t>A CRITICA</t>
        </is>
      </c>
      <c r="E378" t="inlineStr">
        <is>
          <t>HAITIANOS</t>
        </is>
      </c>
      <c r="F378" t="inlineStr"/>
      <c r="G378" t="inlineStr">
        <is>
          <t>AFP</t>
        </is>
      </c>
      <c r="H378" t="inlineStr">
        <is>
          <t>GANGUE EXIGE R$ 95 MILHÕES PARA LIBERAÇÃO DE MISSIONÁRIOS SEQUESTRADOS NO HAITI</t>
        </is>
      </c>
      <c r="I378" t="inlineStr">
        <is>
          <t>AS GANGUES ASSUMIRAM O CONTROLE DE BOA PARTE DE PORTO PRÍNCIPE, QUE TAMBÉM SOFRE COM UMA CRISE POLÍTICA CRESCENTE, AMPLIFICADA PELO ASSASSINATO DO PRESIDENTE JOVENEL MOISE</t>
        </is>
      </c>
      <c r="J378">
        <f>HYPERLINK("https://www.acritica.com/gangue-exige-r-95-milh-es-para-liberac-o-de-missionarios-sequestrados-no-haiti-1.6629", "URL")</f>
        <v/>
      </c>
      <c r="K378">
        <f>HYPERLINK("https://raw.githubusercontent.com/marcosmapl/dataset_imigrantes/main/noticias_filtered/a_critica/haitianos/2021/09_out/html/1.6629_1211.html", "HTML")</f>
        <v/>
      </c>
      <c r="L378">
        <f>HYPERLINK("https://raw.githubusercontent.com/marcosmapl/dataset_imigrantes/main/noticias_filtered/a_critica/haitianos/2021/09_out/txt/1.6629_1211.txt", "TXT")</f>
        <v/>
      </c>
    </row>
    <row r="379">
      <c r="A379" s="1" t="n">
        <v>377</v>
      </c>
      <c r="B379" t="n">
        <v>2021</v>
      </c>
      <c r="C379" s="2" t="n">
        <v>44487.04243847222</v>
      </c>
      <c r="D379" t="inlineStr">
        <is>
          <t>G1</t>
        </is>
      </c>
      <c r="E379" t="inlineStr">
        <is>
          <t>HAITIANOS</t>
        </is>
      </c>
      <c r="F379" t="inlineStr">
        <is>
          <t>MUNDO</t>
        </is>
      </c>
      <c r="G379" t="inlineStr">
        <is>
          <t>FRANCE PRESSE</t>
        </is>
      </c>
      <c r="H379" t="inlineStr">
        <is>
          <t>MISSIONÁRIOS AMERICANOS SÃO SEQUESTRADOS NO HAITI</t>
        </is>
      </c>
      <c r="I379" t="inlineStr">
        <is>
          <t>MISSIONÁRIOS FORAM CAPTURADOS COM FAMILIARES QUANDO RETORNAVAM DA VISITA A UM ORFANATO. SEQUESTRO OCORREU PERTO DA CAPITAL E TAMBÉM TEM CRIANÇAS COMO VÍTIMAS.</t>
        </is>
      </c>
      <c r="J379">
        <f>HYPERLINK("https://g1.globo.com/mundo/noticia/2021/10/17/17-missionarios-americanos-sao-sequestrados-no-haiti.ghtml", "URL")</f>
        <v/>
      </c>
      <c r="K379">
        <f>HYPERLINK("https://raw.githubusercontent.com/marcosmapl/dataset_imigrantes/main/noticias_filtered/g1/haitianos/2021/09_out/html/g1_8b5262ec-2316-11ed-b24f-6dbe51e79fca_3154.html", "HTML")</f>
        <v/>
      </c>
      <c r="L379">
        <f>HYPERLINK("https://raw.githubusercontent.com/marcosmapl/dataset_imigrantes/main/noticias_filtered/g1/haitianos/2021/09_out/txt/g1_8b5262ec-2316-11ed-b24f-6dbe51e79fca_3154.txt", "TXT")</f>
        <v/>
      </c>
    </row>
    <row r="380">
      <c r="A380" s="1" t="n">
        <v>378</v>
      </c>
      <c r="B380" t="n">
        <v>2021</v>
      </c>
      <c r="C380" s="2" t="n">
        <v>44486.88477892361</v>
      </c>
      <c r="D380" t="inlineStr">
        <is>
          <t>G1</t>
        </is>
      </c>
      <c r="E380" t="inlineStr">
        <is>
          <t>VENEZUELANOS</t>
        </is>
      </c>
      <c r="F380" t="inlineStr">
        <is>
          <t>RORAIMA</t>
        </is>
      </c>
      <c r="G380" t="inlineStr">
        <is>
          <t>G1 RR — BOA VISTA</t>
        </is>
      </c>
      <c r="H380" t="inlineStr">
        <is>
          <t>OPERAÇÃO DA PF EM RR CONTRA CONTRABANDO DE OURO PRENDEU VENEZUELANO NA LISTA DA INTERPOL</t>
        </is>
      </c>
      <c r="I380" t="inlineStr">
        <is>
          <t>SEGUNDO A PF, ANTÔNIO FERNANDEZ SOTO É CHEFE DO GRUPO QUE IMPORTOU 100 KG DE OURO E USAVA TERRAS INDÍGENAS DE RORAIMA COMO ROTA PARA COMERCIALIZAR O METAL.</t>
        </is>
      </c>
      <c r="J380">
        <f>HYPERLINK("https://g1.globo.com/rr/roraima/noticia/2021/10/17/operacao-da-pf-em-rr-contra-contrabando-de-ouro-prendeu-venezuelano-na-lista-da-interpol.ghtml", "URL")</f>
        <v/>
      </c>
      <c r="K380">
        <f>HYPERLINK("https://raw.githubusercontent.com/marcosmapl/dataset_imigrantes/main/noticias_filtered/g1/venezuelanos/2021/09_out/html/g1_fa285d2e-2308-11ed-b24f-6dbe51e79fca_2417.html", "HTML")</f>
        <v/>
      </c>
      <c r="L380">
        <f>HYPERLINK("https://raw.githubusercontent.com/marcosmapl/dataset_imigrantes/main/noticias_filtered/g1/venezuelanos/2021/09_out/txt/g1_fa285d2e-2308-11ed-b24f-6dbe51e79fca_2417.txt", "TXT")</f>
        <v/>
      </c>
    </row>
    <row r="381">
      <c r="A381" s="1" t="n">
        <v>379</v>
      </c>
      <c r="B381" t="n">
        <v>2021</v>
      </c>
      <c r="C381" s="2" t="n">
        <v>44486.35339327547</v>
      </c>
      <c r="D381" t="inlineStr">
        <is>
          <t>G1</t>
        </is>
      </c>
      <c r="E381" t="inlineStr">
        <is>
          <t>HAITIANOS</t>
        </is>
      </c>
      <c r="F381" t="inlineStr">
        <is>
          <t>MUNDO</t>
        </is>
      </c>
      <c r="G381" t="inlineStr">
        <is>
          <t>G1</t>
        </is>
      </c>
      <c r="H381" t="inlineStr">
        <is>
          <t>MISSIONÁRIOS AMERICANOS SÃO SEQUESTRADOS POR GANGUE NO HAITI</t>
        </is>
      </c>
      <c r="I381" t="inlineStr">
        <is>
          <t>17 CRISTÃOS, ENTRE HOMENS, MULHERES E CRIANÇAS (3), FORAM LEVADOS APÓS GRUPO DEIXAR UM ORFANATO NAS IMEDIAÇÕES DA CAPITAL PORTO PRÍNCIPE.</t>
        </is>
      </c>
      <c r="J381">
        <f>HYPERLINK("https://g1.globo.com/mundo/noticia/2021/10/17/missionarios-americanos-sao-sequestrados-por-gangue-no-haiti.ghtml", "URL")</f>
        <v/>
      </c>
      <c r="K381">
        <f>HYPERLINK("https://raw.githubusercontent.com/marcosmapl/dataset_imigrantes/main/noticias_filtered/g1/haitianos/2021/09_out/html/g1_d708752c-2308-11ed-b24f-6dbe51e79fca_2407.html", "HTML")</f>
        <v/>
      </c>
      <c r="L381">
        <f>HYPERLINK("https://raw.githubusercontent.com/marcosmapl/dataset_imigrantes/main/noticias_filtered/g1/haitianos/2021/09_out/txt/g1_d708752c-2308-11ed-b24f-6dbe51e79fca_2407.txt", "TXT")</f>
        <v/>
      </c>
    </row>
    <row r="382">
      <c r="A382" s="1" t="n">
        <v>380</v>
      </c>
      <c r="B382" t="n">
        <v>2021</v>
      </c>
      <c r="C382" s="2" t="n">
        <v>44484.74661739583</v>
      </c>
      <c r="D382" t="inlineStr">
        <is>
          <t>G1</t>
        </is>
      </c>
      <c r="E382" t="inlineStr">
        <is>
          <t>HAITIANOS</t>
        </is>
      </c>
      <c r="F382" t="inlineStr">
        <is>
          <t>CAMPINAS E REGIÃO</t>
        </is>
      </c>
      <c r="G382" t="inlineStr">
        <is>
          <t>EPTV 1</t>
        </is>
      </c>
      <c r="H382" t="inlineStr">
        <is>
          <t>HAITIANA QUE MORA NO BRASIL REENCONTRA FILHO DE 11 ANOS APÓS PERMISSÃO JUDICIAL PARA ADOLESCENTE VIAJAR AO PAÍS; VÍDEO</t>
        </is>
      </c>
      <c r="I382" t="inlineStr">
        <is>
          <t>GRUPO DE CERCA DE 170 MORADORES DO HAITI DESEMBARCARAM EM CAMPINAS APÓS OBTER DECISÃO FAVORÁVEL PARA ENTRAREM NO PAÍS MESMO SEM VISTO. JUSTIÇA CONSIDEROU CRISE HUMANITÁRIA.</t>
        </is>
      </c>
      <c r="J382">
        <f>HYPERLINK("https://g1.globo.com/sp/campinas-regiao/noticia/2021/10/15/haitiana-que-mora-no-brasil-reencontra-filho-de-11-anos-apos-permissao-judicial-para-adolescente-viajar-ao-pais-video.ghtml", "URL")</f>
        <v/>
      </c>
      <c r="K382">
        <f>HYPERLINK("https://raw.githubusercontent.com/marcosmapl/dataset_imigrantes/main/noticias_filtered/g1/haitianos/2021/09_out/html/g1_1a433eee-2318-11ed-b24f-6dbe51e79fca_3243.html", "HTML")</f>
        <v/>
      </c>
      <c r="L382">
        <f>HYPERLINK("https://raw.githubusercontent.com/marcosmapl/dataset_imigrantes/main/noticias_filtered/g1/haitianos/2021/09_out/txt/g1_1a433eee-2318-11ed-b24f-6dbe51e79fca_3243.txt", "TXT")</f>
        <v/>
      </c>
    </row>
    <row r="383">
      <c r="A383" s="1" t="n">
        <v>381</v>
      </c>
      <c r="B383" t="n">
        <v>2021</v>
      </c>
      <c r="C383" s="2" t="n">
        <v>44484.56071449074</v>
      </c>
      <c r="D383" t="inlineStr">
        <is>
          <t>G1</t>
        </is>
      </c>
      <c r="E383" t="inlineStr">
        <is>
          <t>HAITIANOS</t>
        </is>
      </c>
      <c r="F383" t="inlineStr">
        <is>
          <t>CAMPINAS E REGIÃO</t>
        </is>
      </c>
      <c r="G383" t="inlineStr">
        <is>
          <t>G1 CAMPINAS E REGIÃO</t>
        </is>
      </c>
      <c r="H383" t="inlineStr">
        <is>
          <t>CERCA DE 170 HAITIANOS COM PERMISSÃO JUDICIAL PARA INGRESSAR SEM VISTO NO BRASIL DESEMBARCAM EM VIRACOPOS</t>
        </is>
      </c>
      <c r="I383" t="inlineStr">
        <is>
          <t>GRUPO OBTEVE DECISÃO PORQUE POSSUI FAMILIARES NO PAÍS, E JUSTIÇA CONSIDEROU CRISE HUMANITÁRIA DO HAITI, ALÉM DE DIFICULDADES PARA CONSEGUIR O DOCUMENTO. CRIANÇAS VIVEM SOB CONDIÇÕES PRECÁRIAS.</t>
        </is>
      </c>
      <c r="J383">
        <f>HYPERLINK("https://g1.globo.com/sp/campinas-regiao/noticia/2021/10/15/haitianos-com-permissao-judicial-para-ingressar-no-brasil-sem-visto-desembarcam-em-viracopos.ghtml", "URL")</f>
        <v/>
      </c>
      <c r="K383">
        <f>HYPERLINK("https://raw.githubusercontent.com/marcosmapl/dataset_imigrantes/main/noticias_filtered/g1/haitianos/2021/09_out/html/g1_8c6bcf52-22b1-11ed-b24f-6dbe51e79fca_1635.html", "HTML")</f>
        <v/>
      </c>
      <c r="L383">
        <f>HYPERLINK("https://raw.githubusercontent.com/marcosmapl/dataset_imigrantes/main/noticias_filtered/g1/haitianos/2021/09_out/txt/g1_8c6bcf52-22b1-11ed-b24f-6dbe51e79fca_1635.txt", "TXT")</f>
        <v/>
      </c>
    </row>
    <row r="384">
      <c r="A384" s="1" t="n">
        <v>382</v>
      </c>
      <c r="B384" t="n">
        <v>2021</v>
      </c>
      <c r="C384" s="2" t="n">
        <v>44483.83085645833</v>
      </c>
      <c r="D384" t="inlineStr">
        <is>
          <t>G1</t>
        </is>
      </c>
      <c r="E384" t="inlineStr">
        <is>
          <t>VENEZUELANOS</t>
        </is>
      </c>
      <c r="F384" t="inlineStr">
        <is>
          <t>MINAS GERAIS</t>
        </is>
      </c>
      <c r="G384" t="inlineStr">
        <is>
          <t>G1 MINAS — BELO HORIZONTE</t>
        </is>
      </c>
      <c r="H384" t="inlineStr">
        <is>
          <t>MP VAI ACOMPANHAR DENÚNCIA DE MÁS CONDIÇÕES EM ABRIGO COM REFUGIADOS INDÍGENAS EM BH</t>
        </is>
      </c>
      <c r="I384" t="inlineStr">
        <is>
          <t>VENEZUELANOS ESTÃO EM PÉSSIMAS CONDIÇÕES EM BH E ALGUNS TESTARAM POSITIVO PARA COVID-19.</t>
        </is>
      </c>
      <c r="J384">
        <f>HYPERLINK("https://g1.globo.com/mg/minas-gerais/noticia/2021/10/14/mp-vai-acompanhar-denuncia-de-mas-condicoes-em-abrigo-com-refugiados-indigenas-em-bh.ghtml", "URL")</f>
        <v/>
      </c>
      <c r="K384">
        <f>HYPERLINK("https://raw.githubusercontent.com/marcosmapl/dataset_imigrantes/main/noticias_filtered/g1/venezuelanos/2021/09_out/html/g1_3ef44e0a-232b-11ed-b24f-6dbe51e79fca_4233.html", "HTML")</f>
        <v/>
      </c>
      <c r="L384">
        <f>HYPERLINK("https://raw.githubusercontent.com/marcosmapl/dataset_imigrantes/main/noticias_filtered/g1/venezuelanos/2021/09_out/txt/g1_3ef44e0a-232b-11ed-b24f-6dbe51e79fca_4233.txt", "TXT")</f>
        <v/>
      </c>
    </row>
    <row r="385">
      <c r="A385" s="1" t="n">
        <v>383</v>
      </c>
      <c r="B385" t="n">
        <v>2021</v>
      </c>
      <c r="C385" s="2" t="n">
        <v>44483.45423637731</v>
      </c>
      <c r="D385" t="inlineStr">
        <is>
          <t>G1</t>
        </is>
      </c>
      <c r="E385" t="inlineStr">
        <is>
          <t>VENEZUELANOS</t>
        </is>
      </c>
      <c r="F385" t="inlineStr">
        <is>
          <t>POP &amp; ARTE</t>
        </is>
      </c>
      <c r="G385" t="inlineStr">
        <is>
          <t>BBC</t>
        </is>
      </c>
      <c r="H385" t="inlineStr">
        <is>
          <t>A IMIGRANTE VENEZUELANA QUE CANTAVA DEBAIXO DE PONTE NA ESPANHA E FOI DESCOBERTA POR PROGRAMA DE TV</t>
        </is>
      </c>
      <c r="I385" t="inlineStr">
        <is>
          <t>ROSA MARÍA MARTÍNEZ É UMA ENFERMEIRA DE 30 ANOS QUE PARTICIPOU DE AUDIÇÃO DE COMPETIÇÃO MUSICAL NA ESPANHA E CONQUISTOU O PÚBLICO E OS JURADOS.</t>
        </is>
      </c>
      <c r="J385">
        <f>HYPERLINK("https://g1.globo.com/pop-arte/noticia/2021/10/14/a-imigrante-venezuelana-que-cantava-debaixo-de-ponte-na-espanha-e-foi-descoberta-por-programa-de-tv.ghtml", "URL")</f>
        <v/>
      </c>
      <c r="K385">
        <f>HYPERLINK("https://raw.githubusercontent.com/marcosmapl/dataset_imigrantes/main/noticias_filtered/g1/venezuelanos/2021/09_out/html/g1_c7e4766e-2307-11ed-b24f-6dbe51e79fca_2341.html", "HTML")</f>
        <v/>
      </c>
      <c r="L385">
        <f>HYPERLINK("https://raw.githubusercontent.com/marcosmapl/dataset_imigrantes/main/noticias_filtered/g1/venezuelanos/2021/09_out/txt/g1_c7e4766e-2307-11ed-b24f-6dbe51e79fca_2341.txt", "TXT")</f>
        <v/>
      </c>
    </row>
    <row r="386">
      <c r="A386" s="1" t="n">
        <v>384</v>
      </c>
      <c r="B386" t="n">
        <v>2021</v>
      </c>
      <c r="C386" s="2" t="n">
        <v>44482.70833333334</v>
      </c>
      <c r="D386" t="inlineStr">
        <is>
          <t>PORTAL AMAZONIA</t>
        </is>
      </c>
      <c r="E386" t="inlineStr">
        <is>
          <t>VENEZUELANOS</t>
        </is>
      </c>
      <c r="F386" t="inlineStr">
        <is>
          <t>AMAZÔNIA,MEIO AMBIENTE</t>
        </is>
      </c>
      <c r="G386" t="inlineStr">
        <is>
          <t>PORTAL AMAZÔNIA, COM INFORMAÇÕES DA AFP</t>
        </is>
      </c>
      <c r="H386" t="inlineStr">
        <is>
          <t>LÍDER INDÍGENA ALERTA SOBRE A DESTRUIÇÃO DA AMAZÔNIA COMO &amp;QUOT;APOCALIPSE MUNDIAL&amp;QUOT;</t>
        </is>
      </c>
      <c r="I386" t="inlineStr">
        <is>
          <t>PARA O ATIVISTA, GREGÓRIO MIRABAL, O FUTURO DA AMAZÔNIA PODE SER DIVIDIDO EM DOIS CENÁRIOS CATASTRÓFICOS</t>
        </is>
      </c>
      <c r="J386">
        <f>HYPERLINK("https://portalamazonia.com/amazonia/lider-indigena-alerta-a-destruicao-da-amazonia-como-apocalipse-mundial", "URL")</f>
        <v/>
      </c>
      <c r="K386">
        <f>HYPERLINK("https://raw.githubusercontent.com/marcosmapl/dataset_imigrantes/main/noticias_filtered/portal_amazonia/venezuelanos/2021/09_out/html/34254.82137_1406.html", "HTML")</f>
        <v/>
      </c>
      <c r="L386">
        <f>HYPERLINK("https://raw.githubusercontent.com/marcosmapl/dataset_imigrantes/main/noticias_filtered/portal_amazonia/venezuelanos/2021/09_out/txt/34254.82137_1406.txt", "TXT")</f>
        <v/>
      </c>
    </row>
    <row r="387">
      <c r="A387" s="1" t="n">
        <v>385</v>
      </c>
      <c r="B387" t="n">
        <v>2021</v>
      </c>
      <c r="C387" s="2" t="n">
        <v>44482.65373918982</v>
      </c>
      <c r="D387" t="inlineStr">
        <is>
          <t>G1</t>
        </is>
      </c>
      <c r="E387" t="inlineStr">
        <is>
          <t>VENEZUELANOS</t>
        </is>
      </c>
      <c r="F387" t="inlineStr">
        <is>
          <t>MINAS GERAIS</t>
        </is>
      </c>
      <c r="G387" t="inlineStr">
        <is>
          <t>FLÁVIA AYER, TV GLOBO — BELO HORIZONTE</t>
        </is>
      </c>
      <c r="H387" t="inlineStr">
        <is>
          <t>COMISSÃO DA ALMG RECEBE DENÚNCIAS DE MÁS CONDIÇÕES EM ABRIGO COM REFUGIADOS INDÍGENAS</t>
        </is>
      </c>
      <c r="I387" t="inlineStr">
        <is>
          <t>VENEZUELANOS ESTÃO EM PÉSSIMAS CONDIÇÕES EM BH E ALGUNS TESTARAM POSITIVO PARA COVID-19.</t>
        </is>
      </c>
      <c r="J387">
        <f>HYPERLINK("https://g1.globo.com/mg/minas-gerais/noticia/2021/10/13/comissao-da-almg-recebe-denuncias-de-mas-condicoes-em-abrigo-com-refugiados-indigenas.ghtml", "URL")</f>
        <v/>
      </c>
      <c r="K387">
        <f>HYPERLINK("https://raw.githubusercontent.com/marcosmapl/dataset_imigrantes/main/noticias_filtered/g1/venezuelanos/2021/09_out/html/g1_6bc29ff8-2318-11ed-b24f-6dbe51e79fca_3259.html", "HTML")</f>
        <v/>
      </c>
      <c r="L387">
        <f>HYPERLINK("https://raw.githubusercontent.com/marcosmapl/dataset_imigrantes/main/noticias_filtered/g1/venezuelanos/2021/09_out/txt/g1_6bc29ff8-2318-11ed-b24f-6dbe51e79fca_3259.txt", "TXT")</f>
        <v/>
      </c>
    </row>
    <row r="388">
      <c r="A388" s="1" t="n">
        <v>386</v>
      </c>
      <c r="B388" t="n">
        <v>2021</v>
      </c>
      <c r="C388" s="2" t="n">
        <v>44480.99437438657</v>
      </c>
      <c r="D388" t="inlineStr">
        <is>
          <t>G1</t>
        </is>
      </c>
      <c r="E388" t="inlineStr">
        <is>
          <t>VENEZUELANOS</t>
        </is>
      </c>
      <c r="F388" t="inlineStr">
        <is>
          <t>MINAS GERAIS</t>
        </is>
      </c>
      <c r="G388" t="inlineStr">
        <is>
          <t>FERNANDO ZUBA, FRED BOTTREL E LARISSA CARVALHO, TV GLOBO — BELO HORIZONTE</t>
        </is>
      </c>
      <c r="H388" t="inlineStr">
        <is>
          <t>VENEZUELANOS ACOLHIDOS EM ABRIGO DE BELO HORIZONTE TESTAM POSITIVO PARA COVID-19</t>
        </is>
      </c>
      <c r="I388" t="inlineStr">
        <is>
          <t>TESTEMUNHAS RELATAM QUE OS REFUGIADOS ESTÃO EM 'PÉSSIMAS CONDIÇÕES' NO ABRIGO SÃO PAULO.</t>
        </is>
      </c>
      <c r="J388">
        <f>HYPERLINK("https://g1.globo.com/mg/minas-gerais/noticia/2021/10/11/venezuelanos-acolhidos-em-abrigo-de-bh-tiveram-teste-positivo-para-covid-19.ghtml", "URL")</f>
        <v/>
      </c>
      <c r="K388">
        <f>HYPERLINK("https://raw.githubusercontent.com/marcosmapl/dataset_imigrantes/main/noticias_filtered/g1/venezuelanos/2021/09_out/html/g1_049ad260-2308-11ed-b24f-6dbe51e79fca_2359.html", "HTML")</f>
        <v/>
      </c>
      <c r="L388">
        <f>HYPERLINK("https://raw.githubusercontent.com/marcosmapl/dataset_imigrantes/main/noticias_filtered/g1/venezuelanos/2021/09_out/txt/g1_049ad260-2308-11ed-b24f-6dbe51e79fca_2359.txt", "TXT")</f>
        <v/>
      </c>
    </row>
    <row r="389">
      <c r="A389" s="1" t="n">
        <v>387</v>
      </c>
      <c r="B389" t="n">
        <v>2021</v>
      </c>
      <c r="C389" s="2" t="n">
        <v>44480.79654587963</v>
      </c>
      <c r="D389" t="inlineStr">
        <is>
          <t>G1</t>
        </is>
      </c>
      <c r="E389" t="inlineStr">
        <is>
          <t>HAITIANOS</t>
        </is>
      </c>
      <c r="F389" t="inlineStr">
        <is>
          <t>SOROCABA E JUNDIAÍ</t>
        </is>
      </c>
      <c r="G389" t="inlineStr">
        <is>
          <t>TV TEM</t>
        </is>
      </c>
      <c r="H389" t="inlineStr">
        <is>
          <t>ESCOLA NO INTERIOR DE SP IMPLANTA CARTILHA EM PORTUGUÊS E CRIOULO PARA INTEGRAR ALUNOS HAITIANOS</t>
        </is>
      </c>
      <c r="I389" t="inlineStr">
        <is>
          <t>CARTILHA TEM INFORMAÇÕES IMPORTANTES SOBRE SISTEMA DE SAÚDE, LEGISLAÇÃO, SEGURANÇA E EDUCAÇÃO. REGIÃO DE SOROCABA (SP) REÚNE CERCA DE 500 FAMÍLIAS HAITIANAS.</t>
        </is>
      </c>
      <c r="J389">
        <f>HYPERLINK("https://g1.globo.com/sp/sorocaba-jundiai/noticia/2021/10/11/escola-no-interior-de-sp-implanta-cartilha-em-portugues-e-crioulo-para-integrar-alunos-haitianos.ghtml", "URL")</f>
        <v/>
      </c>
      <c r="K389">
        <f>HYPERLINK("https://raw.githubusercontent.com/marcosmapl/dataset_imigrantes/main/noticias_filtered/g1/haitianos/2021/09_out/html/g1_209e048c-22f4-11ed-b24f-6dbe51e79fca_1875.html", "HTML")</f>
        <v/>
      </c>
      <c r="L389">
        <f>HYPERLINK("https://raw.githubusercontent.com/marcosmapl/dataset_imigrantes/main/noticias_filtered/g1/haitianos/2021/09_out/txt/g1_209e048c-22f4-11ed-b24f-6dbe51e79fca_1875.txt", "TXT")</f>
        <v/>
      </c>
    </row>
    <row r="390">
      <c r="A390" s="1" t="n">
        <v>388</v>
      </c>
      <c r="B390" t="n">
        <v>2021</v>
      </c>
      <c r="C390" s="2" t="n">
        <v>44480.62932931713</v>
      </c>
      <c r="D390" t="inlineStr">
        <is>
          <t>G1</t>
        </is>
      </c>
      <c r="E390" t="inlineStr">
        <is>
          <t>HAITIANOS</t>
        </is>
      </c>
      <c r="F390" t="inlineStr">
        <is>
          <t>MUNDO</t>
        </is>
      </c>
      <c r="G390" t="inlineStr">
        <is>
          <t>FRANCE PRESSE</t>
        </is>
      </c>
      <c r="H390" t="inlineStr">
        <is>
          <t>CERCA DE 19 MIL CRIANÇAS CRUZARAM A SELVA ENTRE COLÔMBIA E PANAMÁ RUMO AOS EUA ESTE ANO</t>
        </is>
      </c>
      <c r="I390" t="inlineStr">
        <is>
          <t>SEGUNDO O UNICEF, UM EM CADA CINCO DESSES MIGRANTES SÃO CRIANÇAS, PRINCIPALMENTE DO HAITI OU DE PAIS HAITIANOS QUE OS TIVERAM DURANTE ESTADAS NO CHILE OU NO BRASIL. METADE DOS 19 MIL TEM MENOS DE CINCO ANOS.</t>
        </is>
      </c>
      <c r="J390">
        <f>HYPERLINK("https://g1.globo.com/mundo/noticia/2021/10/11/cerca-de-19-mil-criancas-cruzaram-a-selva-entre-colombia-e-panama-rumo-aos-eua-este-ano.ghtml", "URL")</f>
        <v/>
      </c>
      <c r="K390">
        <f>HYPERLINK("https://raw.githubusercontent.com/marcosmapl/dataset_imigrantes/main/noticias_filtered/g1/haitianos/2021/09_out/html/g1_397d3010-42cd-49c0-9d30-8314acb0df12_1625.html", "HTML")</f>
        <v/>
      </c>
      <c r="L390">
        <f>HYPERLINK("https://raw.githubusercontent.com/marcosmapl/dataset_imigrantes/main/noticias_filtered/g1/haitianos/2021/09_out/txt/g1_397d3010-42cd-49c0-9d30-8314acb0df12_1625.txt", "TXT")</f>
        <v/>
      </c>
    </row>
    <row r="391">
      <c r="A391" s="1" t="n">
        <v>389</v>
      </c>
      <c r="B391" t="n">
        <v>2021</v>
      </c>
      <c r="C391" s="2" t="n">
        <v>44480.62932931713</v>
      </c>
      <c r="D391" t="inlineStr">
        <is>
          <t>G1</t>
        </is>
      </c>
      <c r="E391" t="inlineStr">
        <is>
          <t>HAITIANOS</t>
        </is>
      </c>
      <c r="F391" t="inlineStr">
        <is>
          <t>MUNDO</t>
        </is>
      </c>
      <c r="G391" t="inlineStr">
        <is>
          <t>FRANCE PRESSE</t>
        </is>
      </c>
      <c r="H391" t="inlineStr">
        <is>
          <t>CERCA DE 19 MIL CRIANÇAS CRUZARAM A SELVA ENTRE COLÔMBIA E PANAMÁ RUMO AOS EUA ESTE ANO</t>
        </is>
      </c>
      <c r="I391" t="inlineStr">
        <is>
          <t>SEGUNDO O UNICEF, UM EM CADA CINCO DESSES MIGRANTES SÃO CRIANÇAS, PRINCIPALMENTE DO HAITI OU DE PAIS HAITIANOS QUE OS TIVERAM DURANTE ESTADAS NO CHILE OU NO BRASIL. METADE DOS 19 MIL TEM MENOS DE CINCO ANOS.</t>
        </is>
      </c>
      <c r="J391">
        <f>HYPERLINK("https://g1.globo.com/mundo/noticia/2021/10/11/cerca-de-19-mil-criancas-cruzaram-a-selva-entre-colombia-e-panama-rumo-aos-eua-este-ano.ghtml", "URL")</f>
        <v/>
      </c>
      <c r="K391">
        <f>HYPERLINK("https://raw.githubusercontent.com/marcosmapl/dataset_imigrantes/main/noticias_filtered/g1/haitianos/2021/09_out/html/g1_8d640aa8-22b3-11ed-b24f-6dbe51e79fca_1641.html", "HTML")</f>
        <v/>
      </c>
      <c r="L391">
        <f>HYPERLINK("https://raw.githubusercontent.com/marcosmapl/dataset_imigrantes/main/noticias_filtered/g1/haitianos/2021/09_out/txt/g1_8d640aa8-22b3-11ed-b24f-6dbe51e79fca_1641.txt", "TXT")</f>
        <v/>
      </c>
    </row>
    <row r="392">
      <c r="A392" s="1" t="n">
        <v>390</v>
      </c>
      <c r="B392" t="n">
        <v>2021</v>
      </c>
      <c r="C392" s="2" t="n">
        <v>44480.51085739584</v>
      </c>
      <c r="D392" t="inlineStr">
        <is>
          <t>G1</t>
        </is>
      </c>
      <c r="E392" t="inlineStr">
        <is>
          <t>HAITIANOS</t>
        </is>
      </c>
      <c r="F392" t="inlineStr">
        <is>
          <t>CAMPINAS E REGIÃO</t>
        </is>
      </c>
      <c r="G392" t="inlineStr">
        <is>
          <t>G1 CAMPINAS E REGIÃO</t>
        </is>
      </c>
      <c r="H392" t="inlineStr">
        <is>
          <t>MOTORISTA DE TRANSPORTE POR APLICATIVO É ENCONTRADO MORTO EM CANAVIAL DE PAULÍNIA</t>
        </is>
      </c>
      <c r="I392" t="inlineStr">
        <is>
          <t>RONY PAULIME, QUE É HAITIANO, FOI ACHADO COM TRÊS FERIMENTOS NA CABEÇA AO LADO DO VEÍCULO. CASO FOI REGISTRADO COMO HOMICÍDIO, MAS PODE MUDAR PARA LATROCÍNIO PORQUE A CARTEIRA E O CELULAR NÃO FORAM LOCALIZADOS.</t>
        </is>
      </c>
      <c r="J392">
        <f>HYPERLINK("https://g1.globo.com/sp/campinas-regiao/noticia/2021/10/11/motorista-de-transporte-por-aplicativo-e-encontrado-morto-em-canavial-de-paulinia.ghtml", "URL")</f>
        <v/>
      </c>
      <c r="K392">
        <f>HYPERLINK("https://raw.githubusercontent.com/marcosmapl/dataset_imigrantes/main/noticias_filtered/g1/haitianos/2021/09_out/html/g1_cd093f84-22f9-11ed-b24f-6dbe51e79fca_2184.html", "HTML")</f>
        <v/>
      </c>
      <c r="L392">
        <f>HYPERLINK("https://raw.githubusercontent.com/marcosmapl/dataset_imigrantes/main/noticias_filtered/g1/haitianos/2021/09_out/txt/g1_cd093f84-22f9-11ed-b24f-6dbe51e79fca_2184.txt", "TXT")</f>
        <v/>
      </c>
    </row>
    <row r="393">
      <c r="A393" s="1" t="n">
        <v>391</v>
      </c>
      <c r="B393" t="n">
        <v>2021</v>
      </c>
      <c r="C393" s="2" t="n">
        <v>44479.75534722222</v>
      </c>
      <c r="D393" t="inlineStr">
        <is>
          <t>A CRITICA</t>
        </is>
      </c>
      <c r="E393" t="inlineStr">
        <is>
          <t>VENEZUELANOS</t>
        </is>
      </c>
      <c r="F393" t="inlineStr"/>
      <c r="G393" t="inlineStr">
        <is>
          <t>AGÊNCIA BRASIL</t>
        </is>
      </c>
      <c r="H393" t="inlineStr">
        <is>
          <t>CARTILHAS AUXILIAM NO APOIO A INDÍGENAS VENEZUELANOS NO BRASIL</t>
        </is>
      </c>
      <c r="I393" t="inlineStr">
        <is>
          <t>COM CONCEITOS DE PROTEÇÃO COMUNITÁRIA E LISTAGEM DE DIREITOS E SERVIÇOS NECESSÁRIOS, O MATERIAL VISA IMPULSIONAR ESTRATÉGIAS DE INTEGRAÇÃO E ATENDIMENTO SOCIAL</t>
        </is>
      </c>
      <c r="J393">
        <f>HYPERLINK("https://www.acritica.com/cartilhas-auxiliam-no-apoio-a-indigenas-venezuelanos-no-brasil-1.7884", "URL")</f>
        <v/>
      </c>
      <c r="K393">
        <f>HYPERLINK("https://raw.githubusercontent.com/marcosmapl/dataset_imigrantes/main/noticias_filtered/a_critica/venezuelanos/2021/09_out/html/1.7884_625.html", "HTML")</f>
        <v/>
      </c>
      <c r="L393">
        <f>HYPERLINK("https://raw.githubusercontent.com/marcosmapl/dataset_imigrantes/main/noticias_filtered/a_critica/venezuelanos/2021/09_out/txt/1.7884_625.txt", "TXT")</f>
        <v/>
      </c>
    </row>
    <row r="394">
      <c r="A394" s="1" t="n">
        <v>392</v>
      </c>
      <c r="B394" t="n">
        <v>2021</v>
      </c>
      <c r="C394" s="2" t="n">
        <v>44479.73756172453</v>
      </c>
      <c r="D394" t="inlineStr">
        <is>
          <t>G1</t>
        </is>
      </c>
      <c r="E394" t="inlineStr">
        <is>
          <t>HAITIANOS</t>
        </is>
      </c>
      <c r="F394" t="inlineStr">
        <is>
          <t>MUNDO</t>
        </is>
      </c>
      <c r="G394" t="inlineStr">
        <is>
          <t>BBC</t>
        </is>
      </c>
      <c r="H394" t="inlineStr">
        <is>
          <t>100 IMIGRANTES SÃO DESCOBERTOS EM CONTÊINER ABANDONADO</t>
        </is>
      </c>
      <c r="I394" t="inlineStr">
        <is>
          <t>A POLÍCIA AFIRMA QUE A MAIORIA DOS IMIGRANTES HAITIANOS FORAM DEIXADOS POR CONTRABANDISTAS PAGOS PARA LEVÁ-LOS AOS ESTADOS UNIDOS.</t>
        </is>
      </c>
      <c r="J394">
        <f>HYPERLINK("https://g1.globo.com/mundo/noticia/2021/10/10/100-imigrantes-sao-descobertos-em-conteiner-abandonado.ghtml", "URL")</f>
        <v/>
      </c>
      <c r="K394">
        <f>HYPERLINK("https://raw.githubusercontent.com/marcosmapl/dataset_imigrantes/main/noticias_filtered/g1/haitianos/2021/09_out/html/g1_3371e076-22f7-11ed-b24f-6dbe51e79fca_2065.html", "HTML")</f>
        <v/>
      </c>
      <c r="L394">
        <f>HYPERLINK("https://raw.githubusercontent.com/marcosmapl/dataset_imigrantes/main/noticias_filtered/g1/haitianos/2021/09_out/txt/g1_3371e076-22f7-11ed-b24f-6dbe51e79fca_2065.txt", "TXT")</f>
        <v/>
      </c>
    </row>
    <row r="395">
      <c r="A395" s="1" t="n">
        <v>393</v>
      </c>
      <c r="B395" t="n">
        <v>2021</v>
      </c>
      <c r="C395" s="2" t="n">
        <v>44479.63778627315</v>
      </c>
      <c r="D395" t="inlineStr">
        <is>
          <t>G1</t>
        </is>
      </c>
      <c r="E395" t="inlineStr">
        <is>
          <t>VENEZUELANOS</t>
        </is>
      </c>
      <c r="F395" t="inlineStr">
        <is>
          <t>RORAIMA</t>
        </is>
      </c>
      <c r="G395" t="inlineStr">
        <is>
          <t>G1 RR — BOA VISTA</t>
        </is>
      </c>
      <c r="H395" t="inlineStr">
        <is>
          <t>OPERAÇÃO ACOLHIDA RETIRA BARRACAS MONTADAS POR VENEZUELANOS EM PACARAIMA, AO NORTE DE RORAIMA</t>
        </is>
      </c>
      <c r="I395" t="inlineStr">
        <is>
          <t>AÇÃO OCORREU NESSE SÁBADO (9) EM FRENTE À BASE MILITAR DO MUNICÍPIO. OPERAÇÃO ACOLHIDA ALEGOU QUESTÕES DE SEGURANÇA E, INFORMOU AINDA, NÃO TER RETIRADO VENEZUELANOS DO LOCAL.</t>
        </is>
      </c>
      <c r="J395">
        <f>HYPERLINK("https://g1.globo.com/rr/roraima/noticia/2021/10/10/operacao-acolhida-retira-barracas-montadas-por-venezuelanos-em-pacaraima-ao-norte-de-roraima.ghtml", "URL")</f>
        <v/>
      </c>
      <c r="K395">
        <f>HYPERLINK("https://raw.githubusercontent.com/marcosmapl/dataset_imigrantes/main/noticias_filtered/g1/venezuelanos/2021/09_out/html/g1_6bfefb1a-230e-11ed-b24f-6dbe51e79fca_2737.html", "HTML")</f>
        <v/>
      </c>
      <c r="L395">
        <f>HYPERLINK("https://raw.githubusercontent.com/marcosmapl/dataset_imigrantes/main/noticias_filtered/g1/venezuelanos/2021/09_out/txt/g1_6bfefb1a-230e-11ed-b24f-6dbe51e79fca_2737.txt", "TXT")</f>
        <v/>
      </c>
    </row>
    <row r="396">
      <c r="A396" s="1" t="n">
        <v>394</v>
      </c>
      <c r="B396" t="n">
        <v>2021</v>
      </c>
      <c r="C396" s="2" t="n">
        <v>44479.54924768519</v>
      </c>
      <c r="D396" t="inlineStr">
        <is>
          <t>A CRITICA</t>
        </is>
      </c>
      <c r="E396" t="inlineStr">
        <is>
          <t>VENEZUELANOS</t>
        </is>
      </c>
      <c r="F396" t="inlineStr">
        <is>
          <t>ESPORTES</t>
        </is>
      </c>
      <c r="G396" t="inlineStr">
        <is>
          <t>AGÊNCIA BRASIL</t>
        </is>
      </c>
      <c r="H396" t="inlineStr">
        <is>
          <t>COM O RETORNO DE NEYMAR, SELEÇÃO ENCARA A COLÔMBIA, EM BARRANQUILLA</t>
        </is>
      </c>
      <c r="I396" t="inlineStr">
        <is>
          <t>COM 100% DE APROVEITAMENTO, COMANDADOS DO TÉCNICO TITE TÊM A PRESSÃO DE APRESENTAR UM FUTEBOL MELHOR DO QUE VISTO CONTRA A VENEZUELA</t>
        </is>
      </c>
      <c r="J396">
        <f>HYPERLINK("https://www.acritica.com/esportes/com-o-retorno-de-neymar-selec-o-encara-a-colombia-em-barranquilla-1.7917", "URL")</f>
        <v/>
      </c>
      <c r="K396">
        <f>HYPERLINK("https://raw.githubusercontent.com/marcosmapl/dataset_imigrantes/main/noticias_filtered/a_critica/venezuelanos/2021/09_out/html/1.7917_309.html", "HTML")</f>
        <v/>
      </c>
      <c r="L396">
        <f>HYPERLINK("https://raw.githubusercontent.com/marcosmapl/dataset_imigrantes/main/noticias_filtered/a_critica/venezuelanos/2021/09_out/txt/1.7917_309.txt", "TXT")</f>
        <v/>
      </c>
    </row>
    <row r="397">
      <c r="A397" s="1" t="n">
        <v>395</v>
      </c>
      <c r="B397" t="n">
        <v>2021</v>
      </c>
      <c r="C397" s="2" t="n">
        <v>44478.75030125</v>
      </c>
      <c r="D397" t="inlineStr">
        <is>
          <t>G1</t>
        </is>
      </c>
      <c r="E397" t="inlineStr">
        <is>
          <t>HAITIANOS</t>
        </is>
      </c>
      <c r="F397" t="inlineStr">
        <is>
          <t>MUNDO</t>
        </is>
      </c>
      <c r="G397" t="inlineStr">
        <is>
          <t>FRANCE PRESSE</t>
        </is>
      </c>
      <c r="H397" t="inlineStr">
        <is>
          <t>HAITI CONDENA AS DECLARAÇÕES 'RACISTAS' DE TRUMP</t>
        </is>
      </c>
      <c r="I397" t="inlineStr">
        <is>
          <t>EM MENOS DE TRÊS SEMANAS, MAIS DE 7.500 MIGRANTES HAITIANOS, 20% DELES CRIANÇAS, FORAM EXPULSOS PELOS SERVIÇOS DE MIGRAÇÃO DOS ESTADOS UNIDOS.</t>
        </is>
      </c>
      <c r="J397">
        <f>HYPERLINK("https://g1.globo.com/mundo/noticia/2021/10/09/haiti-condena-as-declaracoes-racistas-de-trump.ghtml", "URL")</f>
        <v/>
      </c>
      <c r="K397">
        <f>HYPERLINK("https://raw.githubusercontent.com/marcosmapl/dataset_imigrantes/main/noticias_filtered/g1/haitianos/2021/09_out/html/g1_f0f1e338-22ae-11ed-b24f-6dbe51e79fca_1630.html", "HTML")</f>
        <v/>
      </c>
      <c r="L397">
        <f>HYPERLINK("https://raw.githubusercontent.com/marcosmapl/dataset_imigrantes/main/noticias_filtered/g1/haitianos/2021/09_out/txt/g1_f0f1e338-22ae-11ed-b24f-6dbe51e79fca_1630.txt", "TXT")</f>
        <v/>
      </c>
    </row>
    <row r="398">
      <c r="A398" s="1" t="n">
        <v>396</v>
      </c>
      <c r="B398" t="n">
        <v>2021</v>
      </c>
      <c r="C398" s="2" t="n">
        <v>44476.69513888889</v>
      </c>
      <c r="D398" t="inlineStr">
        <is>
          <t>A CRITICA</t>
        </is>
      </c>
      <c r="E398" t="inlineStr">
        <is>
          <t>VENEZUELANOS</t>
        </is>
      </c>
      <c r="F398" t="inlineStr">
        <is>
          <t>MANAUS</t>
        </is>
      </c>
      <c r="G398" t="inlineStr">
        <is>
          <t>FILIPE TÁVORA</t>
        </is>
      </c>
      <c r="H398" t="inlineStr">
        <is>
          <t>SUPOSTA GOLPISTA DO FACEBOOK É PRESA EM EMPRESA DO CENTRO DE MANAUS</t>
        </is>
      </c>
      <c r="I398" t="inlineStr">
        <is>
          <t>FERNANDA DA SILVA E SILVA, 21, É SUSPEITA DE APLICAR GOLPES DE ESTELIONATO POR MEIO DE ANÚNCIOS DE VEÍCULOS NO FACEBOOK</t>
        </is>
      </c>
      <c r="J398">
        <f>HYPERLINK("https://www.acritica.com/manaus/suposta-golpista-do-facebook-e-presa-em-empresa-do-centro-de-manaus-1.6998", "URL")</f>
        <v/>
      </c>
      <c r="K398">
        <f>HYPERLINK("https://raw.githubusercontent.com/marcosmapl/dataset_imigrantes/main/noticias_filtered/a_critica/venezuelanos/2021/09_out/html/1.6998_492.html", "HTML")</f>
        <v/>
      </c>
      <c r="L398">
        <f>HYPERLINK("https://raw.githubusercontent.com/marcosmapl/dataset_imigrantes/main/noticias_filtered/a_critica/venezuelanos/2021/09_out/txt/1.6998_492.txt", "TXT")</f>
        <v/>
      </c>
    </row>
    <row r="399">
      <c r="A399" s="1" t="n">
        <v>397</v>
      </c>
      <c r="B399" t="n">
        <v>2021</v>
      </c>
      <c r="C399" s="2" t="n">
        <v>44476.61469953704</v>
      </c>
      <c r="D399" t="inlineStr">
        <is>
          <t>G1</t>
        </is>
      </c>
      <c r="E399" t="inlineStr">
        <is>
          <t>HAITIANOS</t>
        </is>
      </c>
      <c r="F399" t="inlineStr">
        <is>
          <t>MUNDO</t>
        </is>
      </c>
      <c r="G399" t="inlineStr">
        <is>
          <t>THOMAS MILZ, DEUTSCHE WELLE</t>
        </is>
      </c>
      <c r="H399" t="inlineStr">
        <is>
          <t>O DRAMA DAS CRIANÇAS BRASILEIRAS DEPORTADAS DOS EUA PARA O HAITI</t>
        </is>
      </c>
      <c r="I399" t="inlineStr">
        <is>
          <t>PARTE DOS HAITIANOS DEPORTADOS DO TEXAS SÃO CRIANÇAS NASCIDAS NO BRASIL – E TÊM DIREITO, PORTANTO, DE SEREM ASSISTIDAS PELO GOVERNO BRASILEIRO.</t>
        </is>
      </c>
      <c r="J399">
        <f>HYPERLINK("https://g1.globo.com/mundo/noticia/2021/10/07/o-drama-das-criancas-brasileiras-deportadas-dos-eua-para-o-haiti.ghtml", "URL")</f>
        <v/>
      </c>
      <c r="K399">
        <f>HYPERLINK("https://raw.githubusercontent.com/marcosmapl/dataset_imigrantes/main/noticias_filtered/g1/haitianos/2021/09_out/html/g1_737984b4-22f5-11ed-b24f-6dbe51e79fca_1950.html", "HTML")</f>
        <v/>
      </c>
      <c r="L399">
        <f>HYPERLINK("https://raw.githubusercontent.com/marcosmapl/dataset_imigrantes/main/noticias_filtered/g1/haitianos/2021/09_out/txt/g1_737984b4-22f5-11ed-b24f-6dbe51e79fca_1950.txt", "TXT")</f>
        <v/>
      </c>
    </row>
    <row r="400">
      <c r="A400" s="1" t="n">
        <v>398</v>
      </c>
      <c r="B400" t="n">
        <v>2021</v>
      </c>
      <c r="C400" s="2" t="n">
        <v>44475.33462423611</v>
      </c>
      <c r="D400" t="inlineStr">
        <is>
          <t>G1</t>
        </is>
      </c>
      <c r="E400" t="inlineStr">
        <is>
          <t>HAITIANOS</t>
        </is>
      </c>
      <c r="F400" t="inlineStr">
        <is>
          <t>MUNDO</t>
        </is>
      </c>
      <c r="G400" t="inlineStr">
        <is>
          <t>FELIPE GUTIERREZ, G1</t>
        </is>
      </c>
      <c r="H400" t="inlineStr">
        <is>
          <t>CERCA DE 24% DOS HAITIANOS QUE TENTAM MIGRAR POR TERRA PARA OS EUA PARTIRAM DO BRASIL, APONTAM DADOS DA ONU</t>
        </is>
      </c>
      <c r="I400" t="inlineStr">
        <is>
          <t>ESTADOS UNIDOS COMEÇARAM A DEPORTAR IMIGRANTES HAITIANOS QUE CHEGAM AO TEXAS ATRAVESSANDO A FRONTEIRA COM O MÉXICO. UMA PARTE DELES TEM AUTORIZAÇÃO DE RESIDÊNCIA NO BRASIL.</t>
        </is>
      </c>
      <c r="J400">
        <f>HYPERLINK("https://g1.globo.com/mundo/noticia/2021/10/06/cerca-de-24percent-dos-haitianos-que-tentam-migrar-por-terra-para-os-eua-partiram-do-brasil-apontam-dados-da-onu.ghtml", "URL")</f>
        <v/>
      </c>
      <c r="K400">
        <f>HYPERLINK("https://raw.githubusercontent.com/marcosmapl/dataset_imigrantes/main/noticias_filtered/g1/haitianos/2021/09_out/html/g1_90897828-22f2-11ed-b24f-6dbe51e79fca_1804.html", "HTML")</f>
        <v/>
      </c>
      <c r="L400">
        <f>HYPERLINK("https://raw.githubusercontent.com/marcosmapl/dataset_imigrantes/main/noticias_filtered/g1/haitianos/2021/09_out/txt/g1_90897828-22f2-11ed-b24f-6dbe51e79fca_1804.txt", "TXT")</f>
        <v/>
      </c>
    </row>
    <row r="401">
      <c r="A401" s="1" t="n">
        <v>399</v>
      </c>
      <c r="B401" t="n">
        <v>2021</v>
      </c>
      <c r="C401" s="2" t="n">
        <v>44474.52697188657</v>
      </c>
      <c r="D401" t="inlineStr">
        <is>
          <t>G1</t>
        </is>
      </c>
      <c r="E401" t="inlineStr">
        <is>
          <t>HAITIANOS</t>
        </is>
      </c>
      <c r="F401" t="inlineStr">
        <is>
          <t>MATO GROSSO</t>
        </is>
      </c>
      <c r="G401" t="inlineStr">
        <is>
          <t>DENISE SOARES, G1 MT</t>
        </is>
      </c>
      <c r="H401" t="inlineStr">
        <is>
          <t>CRIANÇA HAITIANA DE 7 ANOS MORRE ATROPELADA POR CARRETA A CAMINHO DA ESCOLA EM MT</t>
        </is>
      </c>
      <c r="I401" t="inlineStr">
        <is>
          <t>ACIDENTE OCORREU QUANDO MOTORISTA DA CARRETA FEZ CONVERSÃO EM CRUZAMENTO. ELE DISSE À POLÍCIA QUE VIU DUAS CRIANÇAS NA CALÇADA E QUE DEPOIS DISSO NÃO VISUALIZOU MAIS PELO RETROVISOR.</t>
        </is>
      </c>
      <c r="J401">
        <f>HYPERLINK("https://g1.globo.com/mt/mato-grosso/noticia/2021/10/05/crianca-haitiana-de-7-anos-morre-atropelada-por-carreta-a-caminho-da-escola-em-mt.ghtml", "URL")</f>
        <v/>
      </c>
      <c r="K401">
        <f>HYPERLINK("https://raw.githubusercontent.com/marcosmapl/dataset_imigrantes/main/noticias_filtered/g1/haitianos/2021/09_out/html/g1_acee70b4-2323-11ed-b24f-6dbe51e79fca_3821.html", "HTML")</f>
        <v/>
      </c>
      <c r="L401">
        <f>HYPERLINK("https://raw.githubusercontent.com/marcosmapl/dataset_imigrantes/main/noticias_filtered/g1/haitianos/2021/09_out/txt/g1_acee70b4-2323-11ed-b24f-6dbe51e79fca_3821.txt", "TXT")</f>
        <v/>
      </c>
    </row>
    <row r="402">
      <c r="A402" s="1" t="n">
        <v>400</v>
      </c>
      <c r="B402" t="n">
        <v>2021</v>
      </c>
      <c r="C402" s="2" t="n">
        <v>44473.93962645833</v>
      </c>
      <c r="D402" t="inlineStr">
        <is>
          <t>G1</t>
        </is>
      </c>
      <c r="E402" t="inlineStr">
        <is>
          <t>HAITIANOS</t>
        </is>
      </c>
      <c r="F402" t="inlineStr">
        <is>
          <t>MUNDO</t>
        </is>
      </c>
      <c r="G402" t="inlineStr">
        <is>
          <t>FRANCE PRESSE</t>
        </is>
      </c>
      <c r="H402" t="inlineStr">
        <is>
          <t>POLÍCIA DESMONTA QUADRILHA QUE LEVAVA HAITIANOS ILEGALMENTE DO CHILE PARA OS EUA</t>
        </is>
      </c>
      <c r="I402" t="inlineStr">
        <is>
          <t>NOVE PESSOAS ACUSADAS DE TRÁFICO DE PESSOAS FORAM PRESAS EM OPERAÇÃO CONJUNTA COM A INTERPOL. HAITIANOS QUE RESIDIAM NO CHILE SAÍAM POR ROTAS CLANDESTINAS MUITAS VEZES LEVANDO CRIANÇAS NASCIDAS EM TERRITÓRIOS CHILENOS.</t>
        </is>
      </c>
      <c r="J402">
        <f>HYPERLINK("https://g1.globo.com/mundo/noticia/2021/10/04/policia-desmonta-quadrilha-que-levava-haitianos-ilegalmente-do-chile-para-os-eua.ghtml", "URL")</f>
        <v/>
      </c>
      <c r="K402">
        <f>HYPERLINK("https://raw.githubusercontent.com/marcosmapl/dataset_imigrantes/main/noticias_filtered/g1/haitianos/2021/09_out/html/g1_d9cefcf6-22f7-11ed-b24f-6dbe51e79fca_2100.html", "HTML")</f>
        <v/>
      </c>
      <c r="L402">
        <f>HYPERLINK("https://raw.githubusercontent.com/marcosmapl/dataset_imigrantes/main/noticias_filtered/g1/haitianos/2021/09_out/txt/g1_d9cefcf6-22f7-11ed-b24f-6dbe51e79fca_2100.txt", "TXT")</f>
        <v/>
      </c>
    </row>
    <row r="403">
      <c r="A403" s="1" t="n">
        <v>401</v>
      </c>
      <c r="B403" t="n">
        <v>2021</v>
      </c>
      <c r="C403" s="2" t="n">
        <v>44473.86625302083</v>
      </c>
      <c r="D403" t="inlineStr">
        <is>
          <t>G1</t>
        </is>
      </c>
      <c r="E403" t="inlineStr">
        <is>
          <t>VENEZUELANOS</t>
        </is>
      </c>
      <c r="F403" t="inlineStr">
        <is>
          <t>MUNDO</t>
        </is>
      </c>
      <c r="G403" t="inlineStr">
        <is>
          <t>FRANCE PRESSE</t>
        </is>
      </c>
      <c r="H403" t="inlineStr">
        <is>
          <t>APÓS DOIS ANOS, VENEZUELA REABRE FRONTEIRA COM COLÔMBIA PARA O COMÉRCIO</t>
        </is>
      </c>
      <c r="I403" t="inlineStr">
        <is>
          <t>PONTE QUE LIGA OS DOIS PAÍSES ESTAVA BLOQUEADA DESDE QUE O GOVERNO BOLIVIANO RECONHECEU JUAN GUAIDÓ COMO PRESIDENTE INTERINO VENEZUELANO EM 2019, IRRITANDO NICOLÁS MADURO.</t>
        </is>
      </c>
      <c r="J403">
        <f>HYPERLINK("https://g1.globo.com/mundo/noticia/2021/10/04/apos-dois-anos-venezuela-reabre-fronteira-com-colombia-para-o-comercio.ghtml", "URL")</f>
        <v/>
      </c>
      <c r="K403">
        <f>HYPERLINK("https://raw.githubusercontent.com/marcosmapl/dataset_imigrantes/main/noticias_filtered/g1/venezuelanos/2021/09_out/html/g1_4b88f4d0-2327-11ed-b24f-6dbe51e79fca_4026.html", "HTML")</f>
        <v/>
      </c>
      <c r="L403">
        <f>HYPERLINK("https://raw.githubusercontent.com/marcosmapl/dataset_imigrantes/main/noticias_filtered/g1/venezuelanos/2021/09_out/txt/g1_4b88f4d0-2327-11ed-b24f-6dbe51e79fca_4026.txt", "TXT")</f>
        <v/>
      </c>
    </row>
    <row r="404">
      <c r="A404" s="1" t="n">
        <v>402</v>
      </c>
      <c r="B404" t="n">
        <v>2021</v>
      </c>
      <c r="C404" s="2" t="n">
        <v>44470.96868520833</v>
      </c>
      <c r="D404" t="inlineStr">
        <is>
          <t>G1</t>
        </is>
      </c>
      <c r="E404" t="inlineStr">
        <is>
          <t>VENEZUELANOS</t>
        </is>
      </c>
      <c r="F404" t="inlineStr">
        <is>
          <t>TOCANTINS</t>
        </is>
      </c>
      <c r="G404" t="inlineStr">
        <is>
          <t>G1 TOCANTINS</t>
        </is>
      </c>
      <c r="H404" t="inlineStr">
        <is>
          <t>JUSTIÇA DETERMINA QUE PREFEITURA DE ARAGUAÍNA CONTRATE VENEZUELANOS REFUGIADOS NA CIDADE</t>
        </is>
      </c>
      <c r="I404" t="inlineStr">
        <is>
          <t>A SENTENÇA É PARA QUE 13 CHEFES DE FAMÍLIAS QUE FUGIRAM PARA A CIDADE POR CAUSA DA CRISE HUMANITÁRIA NA VENEZUELA SEJAM CHAMADOS PARA EMPREGOS TEMPORÁRIOS. MUNICÍPIO TAMBÉM É OBRIGADO A PAGAR CONTAS DE ÁGUA E LUZ ATRASADAS DO IMÓVEL ONDE ELES ESTÃO ABRIGADOS.</t>
        </is>
      </c>
      <c r="J404">
        <f>HYPERLINK("https://g1.globo.com/to/tocantins/noticia/2021/10/01/justica-determina-que-prefeitura-de-araguaina-contrate-venezuelanos-refugiados-na-cidade.ghtml", "URL")</f>
        <v/>
      </c>
      <c r="K404">
        <f>HYPERLINK("https://raw.githubusercontent.com/marcosmapl/dataset_imigrantes/main/noticias_filtered/g1/venezuelanos/2021/09_out/html/g1_5d8e64fe-2326-11ed-b24f-6dbe51e79fca_3972.html", "HTML")</f>
        <v/>
      </c>
      <c r="L404">
        <f>HYPERLINK("https://raw.githubusercontent.com/marcosmapl/dataset_imigrantes/main/noticias_filtered/g1/venezuelanos/2021/09_out/txt/g1_5d8e64fe-2326-11ed-b24f-6dbe51e79fca_3972.txt", "TXT")</f>
        <v/>
      </c>
    </row>
    <row r="405">
      <c r="A405" s="1" t="n">
        <v>403</v>
      </c>
      <c r="B405" t="n">
        <v>2021</v>
      </c>
      <c r="C405" s="2" t="n">
        <v>44470.85694444444</v>
      </c>
      <c r="D405" t="inlineStr">
        <is>
          <t>A CRITICA</t>
        </is>
      </c>
      <c r="E405" t="inlineStr">
        <is>
          <t>VENEZUELANOS</t>
        </is>
      </c>
      <c r="F405" t="inlineStr"/>
      <c r="G405" t="inlineStr">
        <is>
          <t>AFP</t>
        </is>
      </c>
      <c r="H405" t="inlineStr">
        <is>
          <t>DESVALORIZADO, DINHEIRO VENEZUELANO VIRA BRINQUEDO NAS MÃOS DE CRIANÇAS</t>
        </is>
      </c>
      <c r="I405" t="inlineStr">
        <is>
          <t>NOTA DE 1 MILHÃO DE BOLÍVAR VENEZUELANO VALE O EQUIVALENTE A DOIS TEMPEROS EM UMA LOJA DE PUERTO CONCHA, NA VENEZUELA, QUE SOFRE COM CRISE ECONÔMICA</t>
        </is>
      </c>
      <c r="J405">
        <f>HYPERLINK("https://www.acritica.com/desvalorizado-dinheiro-venezuelano-vira-brinquedo-nas-m-os-de-criancas-1.8281", "URL")</f>
        <v/>
      </c>
      <c r="K405">
        <f>HYPERLINK("https://raw.githubusercontent.com/marcosmapl/dataset_imigrantes/main/noticias_filtered/a_critica/venezuelanos/2021/09_out/html/1.8281_384.html", "HTML")</f>
        <v/>
      </c>
      <c r="L405">
        <f>HYPERLINK("https://raw.githubusercontent.com/marcosmapl/dataset_imigrantes/main/noticias_filtered/a_critica/venezuelanos/2021/09_out/txt/1.8281_384.txt", "TXT")</f>
        <v/>
      </c>
    </row>
    <row r="406">
      <c r="A406" s="1" t="n">
        <v>404</v>
      </c>
      <c r="B406" t="n">
        <v>2021</v>
      </c>
      <c r="C406" s="2" t="n">
        <v>44469.78519548611</v>
      </c>
      <c r="D406" t="inlineStr">
        <is>
          <t>G1</t>
        </is>
      </c>
      <c r="E406" t="inlineStr">
        <is>
          <t>VENEZUELANOS</t>
        </is>
      </c>
      <c r="F406" t="inlineStr">
        <is>
          <t>ECONOMIA</t>
        </is>
      </c>
      <c r="G406" t="inlineStr">
        <is>
          <t>FRANCE PRESSE</t>
        </is>
      </c>
      <c r="H406" t="inlineStr">
        <is>
          <t>CÉDULAS EM DESUSO VIRAM BRINQUEDO NAS MÃOS DE CRIANÇAS EM POVOADO VENEZUELANO</t>
        </is>
      </c>
      <c r="I406" t="inlineStr">
        <is>
          <t>BOLÍVAR SE DESVALORIZOU 72,54% EM 2021 E NA SEXTA-FEIRA PASSARÁ POR UMA NOVA RECONVERSÃO NA QUAL VAI PERDER SEIS ZEROS.</t>
        </is>
      </c>
      <c r="J406">
        <f>HYPERLINK("https://g1.globo.com/economia/noticia/2021/09/30/cedulas-em-desuso-viram-brinquedo-nas-maos-de-criancas-em-povoado-venezuelano.ghtml", "URL")</f>
        <v/>
      </c>
      <c r="K406">
        <f>HYPERLINK("https://raw.githubusercontent.com/marcosmapl/dataset_imigrantes/main/noticias_filtered/g1/venezuelanos/2021/08_set/html/g1_9f46762e-231d-11ed-b24f-6dbe51e79fca_3510.html", "HTML")</f>
        <v/>
      </c>
      <c r="L406">
        <f>HYPERLINK("https://raw.githubusercontent.com/marcosmapl/dataset_imigrantes/main/noticias_filtered/g1/venezuelanos/2021/08_set/txt/g1_9f46762e-231d-11ed-b24f-6dbe51e79fca_3510.txt", "TXT")</f>
        <v/>
      </c>
    </row>
    <row r="407">
      <c r="A407" s="1" t="n">
        <v>405</v>
      </c>
      <c r="B407" t="n">
        <v>2021</v>
      </c>
      <c r="C407" s="2" t="n">
        <v>44469.73127554398</v>
      </c>
      <c r="D407" t="inlineStr">
        <is>
          <t>G1</t>
        </is>
      </c>
      <c r="E407" t="inlineStr">
        <is>
          <t>VENEZUELANOS</t>
        </is>
      </c>
      <c r="F407" t="inlineStr">
        <is>
          <t>RORAIMA</t>
        </is>
      </c>
      <c r="G407" t="inlineStr">
        <is>
          <t>G1 RR — BOA VISTA</t>
        </is>
      </c>
      <c r="H407" t="inlineStr">
        <is>
          <t>JOVEM VENEZUELANO É MORTO COM TIROS NAS COSTAS E OUVIDO EM BOA VISTA</t>
        </is>
      </c>
      <c r="I407" t="inlineStr">
        <is>
          <t>ANGEL RAFAEL URBAEZ GONZALEZ, DE 23 ANOS, ESTAVA EM UMA BICICLETA QUANDO FOI ATINGIDO PELOS TIROS.</t>
        </is>
      </c>
      <c r="J407">
        <f>HYPERLINK("https://g1.globo.com/rr/roraima/noticia/2021/09/30/jovem-venezuelano-e-morto-com-tiros-nas-costas-e-ouvido-em-boa-vista.ghtml", "URL")</f>
        <v/>
      </c>
      <c r="K407">
        <f>HYPERLINK("https://raw.githubusercontent.com/marcosmapl/dataset_imigrantes/main/noticias_filtered/g1/venezuelanos/2021/08_set/html/g1_b037670a-231c-11ed-b24f-6dbe51e79fca_3460.html", "HTML")</f>
        <v/>
      </c>
      <c r="L407">
        <f>HYPERLINK("https://raw.githubusercontent.com/marcosmapl/dataset_imigrantes/main/noticias_filtered/g1/venezuelanos/2021/08_set/txt/g1_b037670a-231c-11ed-b24f-6dbe51e79fca_3460.txt", "TXT")</f>
        <v/>
      </c>
    </row>
    <row r="408">
      <c r="A408" s="1" t="n">
        <v>406</v>
      </c>
      <c r="B408" t="n">
        <v>2021</v>
      </c>
      <c r="C408" s="2" t="n">
        <v>44468.91649305556</v>
      </c>
      <c r="D408" t="inlineStr">
        <is>
          <t>A CRITICA</t>
        </is>
      </c>
      <c r="E408" t="inlineStr">
        <is>
          <t>HAITIANOS</t>
        </is>
      </c>
      <c r="F408" t="inlineStr">
        <is>
          <t>MANAUS</t>
        </is>
      </c>
      <c r="G408" t="inlineStr">
        <is>
          <t>PORTAL A CRÍTICA</t>
        </is>
      </c>
      <c r="H408" t="inlineStr">
        <is>
          <t>HAITIANOS POSSIVELMENTE VÍTIMAS DE TRÁFICO HUMANO SÃO ABRIGADOS EM MANAUS</t>
        </is>
      </c>
      <c r="I408" t="inlineStr">
        <is>
          <t>GRUPO DESEMBARCOU EM MANAUS NO DOMINGO (29). OS HAITIANOS FORAM DIVIDIDOS EM GRUPOS E ESTÃO HOSPEDADOS EM DOIS HOTÉIS DA CAPITAL</t>
        </is>
      </c>
      <c r="J408">
        <f>HYPERLINK("https://www.acritica.com/manaus/haitianos-possivelmente-vitimas-de-trafico-humano-s-o-abrigados-em-manaus-1.8423", "URL")</f>
        <v/>
      </c>
      <c r="K408">
        <f>HYPERLINK("https://raw.githubusercontent.com/marcosmapl/dataset_imigrantes/main/noticias_filtered/a_critica/haitianos/2021/08_set/html/1.8423_1097.html", "HTML")</f>
        <v/>
      </c>
      <c r="L408">
        <f>HYPERLINK("https://raw.githubusercontent.com/marcosmapl/dataset_imigrantes/main/noticias_filtered/a_critica/haitianos/2021/08_set/txt/1.8423_1097.txt", "TXT")</f>
        <v/>
      </c>
    </row>
    <row r="409">
      <c r="A409" s="1" t="n">
        <v>407</v>
      </c>
      <c r="B409" t="n">
        <v>2021</v>
      </c>
      <c r="C409" s="2" t="n">
        <v>44468.81678841435</v>
      </c>
      <c r="D409" t="inlineStr">
        <is>
          <t>G1</t>
        </is>
      </c>
      <c r="E409" t="inlineStr">
        <is>
          <t>VENEZUELANOS</t>
        </is>
      </c>
      <c r="F409" t="inlineStr">
        <is>
          <t>DISTRITO FEDERAL</t>
        </is>
      </c>
      <c r="G409" t="inlineStr">
        <is>
          <t>MILENA CASTRO*, G1 DF</t>
        </is>
      </c>
      <c r="H409" t="inlineStr">
        <is>
          <t>FOTOS: TRAJETÓRIA DE REFUGIADOS VENEZUELANOS NO BRASIL É TEMA DE EXPOSIÇÃO NO CCBB BRASÍLIA</t>
        </is>
      </c>
      <c r="I409" t="inlineStr">
        <is>
          <t>EXPOSIÇÃO FICA EM CARTAZ ATÉ 31 DE OUTUBRO. ENTRADA É GRATUITA.</t>
        </is>
      </c>
      <c r="J409">
        <f>HYPERLINK("https://g1.globo.com/df/distrito-federal/o-que-fazer-no-distrito-federal/noticia/2021/09/29/fotos-trajetoria-de-refugiados-venezuelanos-no-brasil-e-tema-de-exposicao-no-ccbb-brasilia.ghtml", "URL")</f>
        <v/>
      </c>
      <c r="K409">
        <f>HYPERLINK("https://raw.githubusercontent.com/marcosmapl/dataset_imigrantes/main/noticias_filtered/g1/venezuelanos/2021/08_set/html/g1_8479f128-2321-11ed-b24f-6dbe51e79fca_3705.html", "HTML")</f>
        <v/>
      </c>
      <c r="L409">
        <f>HYPERLINK("https://raw.githubusercontent.com/marcosmapl/dataset_imigrantes/main/noticias_filtered/g1/venezuelanos/2021/08_set/txt/g1_8479f128-2321-11ed-b24f-6dbe51e79fca_3705.txt", "TXT")</f>
        <v/>
      </c>
    </row>
    <row r="410">
      <c r="A410" s="1" t="n">
        <v>408</v>
      </c>
      <c r="B410" t="n">
        <v>2021</v>
      </c>
      <c r="C410" s="2" t="n">
        <v>44467.82976065972</v>
      </c>
      <c r="D410" t="inlineStr">
        <is>
          <t>G1</t>
        </is>
      </c>
      <c r="E410" t="inlineStr">
        <is>
          <t>HAITIANOS</t>
        </is>
      </c>
      <c r="F410" t="inlineStr">
        <is>
          <t>MUNDO</t>
        </is>
      </c>
      <c r="G410" t="inlineStr">
        <is>
          <t>G1</t>
        </is>
      </c>
      <c r="H410" t="inlineStr">
        <is>
          <t>EMBAIXADA DO BRASIL NO HAITI AVALIA COMO DAR ASSISTÊNCIA A MENORES BRASILEIROS DEPORTADOS DOS EUA</t>
        </is>
      </c>
      <c r="I410" t="inlineStr">
        <is>
          <t>ITAMARATY INFORMOU QUE FOI COMUNICADO SOBRE A EXISTÊNCIA DOS MENORES POR ORGANIZAÇÃO INTERNACIONAL PARA AS MIGRAÇÕES. PAIS SÃO HAITIANOS, MAS CRIANÇAS, MAIORIA COM ATÉ TRÊS ANOS DE IDADE, NASCERAM NO BRASIL.</t>
        </is>
      </c>
      <c r="J410">
        <f>HYPERLINK("https://g1.globo.com/mundo/noticia/2021/09/28/embaixada-do-brasil-no-haiti-avalia-como-dar-assistencia-a-menores-brasileiros-deportados-dos-eua.ghtml", "URL")</f>
        <v/>
      </c>
      <c r="K410">
        <f>HYPERLINK("https://raw.githubusercontent.com/marcosmapl/dataset_imigrantes/main/noticias_filtered/g1/haitianos/2021/08_set/html/g1_b51280ce-22fa-11ed-b24f-6dbe51e79fca_2236.html", "HTML")</f>
        <v/>
      </c>
      <c r="L410">
        <f>HYPERLINK("https://raw.githubusercontent.com/marcosmapl/dataset_imigrantes/main/noticias_filtered/g1/haitianos/2021/08_set/txt/g1_b51280ce-22fa-11ed-b24f-6dbe51e79fca_2236.txt", "TXT")</f>
        <v/>
      </c>
    </row>
    <row r="411">
      <c r="A411" s="1" t="n">
        <v>409</v>
      </c>
      <c r="B411" t="n">
        <v>2021</v>
      </c>
      <c r="C411" s="2" t="n">
        <v>44467.61907327546</v>
      </c>
      <c r="D411" t="inlineStr">
        <is>
          <t>G1</t>
        </is>
      </c>
      <c r="E411" t="inlineStr">
        <is>
          <t>HAITIANOS</t>
        </is>
      </c>
      <c r="F411" t="inlineStr">
        <is>
          <t>MUNDO</t>
        </is>
      </c>
      <c r="G411" t="inlineStr">
        <is>
          <t>G1</t>
        </is>
      </c>
      <c r="H411" t="inlineStr">
        <is>
          <t>HAITI: PRIMEIRO-MINISTRO SUSPENDE ELEIÇÕES E NÃO DEFINE DATA PARA REALIZÁ-LAS</t>
        </is>
      </c>
      <c r="I411" t="inlineStr">
        <is>
          <t>ELEIÇÕES ESTAVAM PROGRAMADAS PARA OCORRER EM NOVEMBRO. O PRIMEIRO-MINISTRO FOI NOMEADO DOIS DIAS ANTES DA MORTE DO PRESIDENTE JOVENEL MOISE.</t>
        </is>
      </c>
      <c r="J411">
        <f>HYPERLINK("https://g1.globo.com/mundo/noticia/2021/09/28/haiti-primeiro-ministro-suspende-eleicoes-e-nao-define-data-para-realiza-las.ghtml", "URL")</f>
        <v/>
      </c>
      <c r="K411">
        <f>HYPERLINK("https://raw.githubusercontent.com/marcosmapl/dataset_imigrantes/main/noticias_filtered/g1/haitianos/2021/08_set/html/g1_0f5449be-2319-11ed-b24f-6dbe51e79fca_3297.html", "HTML")</f>
        <v/>
      </c>
      <c r="L411">
        <f>HYPERLINK("https://raw.githubusercontent.com/marcosmapl/dataset_imigrantes/main/noticias_filtered/g1/haitianos/2021/08_set/txt/g1_0f5449be-2319-11ed-b24f-6dbe51e79fca_3297.txt", "TXT")</f>
        <v/>
      </c>
    </row>
    <row r="412">
      <c r="A412" s="1" t="n">
        <v>410</v>
      </c>
      <c r="B412" t="n">
        <v>2021</v>
      </c>
      <c r="C412" s="2" t="n">
        <v>44467.5106665625</v>
      </c>
      <c r="D412" t="inlineStr">
        <is>
          <t>G1</t>
        </is>
      </c>
      <c r="E412" t="inlineStr">
        <is>
          <t>HAITIANOS</t>
        </is>
      </c>
      <c r="F412" t="inlineStr">
        <is>
          <t>MUNDO</t>
        </is>
      </c>
      <c r="G412" t="inlineStr">
        <is>
          <t>BBC</t>
        </is>
      </c>
      <c r="H412" t="inlineStr">
        <is>
          <t>CRISE MIGRATÓRIA: 'ANDEI POR 2 MESES E ATRAVESSEI UM CONTINENTE PARA CHEGAR AOS EUA'</t>
        </is>
      </c>
      <c r="I412" t="inlineStr">
        <is>
          <t>NA SEGUNDA SEMANA DE SETEMBRO, DE ACORDO COM ESTIMATIVAS OFICIAIS, CERCA DE 14 MIL PESSOAS ESTAVAM ACAMPADAS SOB A PONTE INTERNACIONAL QUE LIGA OS EUA AO MÉXICO. A MAIORIA DELAS É HAITIANA.</t>
        </is>
      </c>
      <c r="J412">
        <f>HYPERLINK("https://g1.globo.com/mundo/noticia/2021/09/28/crise-migratoria-andei-por-2-meses-e-atravessei-um-continente-para-chegar-aos-eua.ghtml", "URL")</f>
        <v/>
      </c>
      <c r="K412">
        <f>HYPERLINK("https://raw.githubusercontent.com/marcosmapl/dataset_imigrantes/main/noticias_filtered/g1/haitianos/2021/08_set/html/g1_202637be-232a-11ed-b24f-6dbe51e79fca_4159.html", "HTML")</f>
        <v/>
      </c>
      <c r="L412">
        <f>HYPERLINK("https://raw.githubusercontent.com/marcosmapl/dataset_imigrantes/main/noticias_filtered/g1/haitianos/2021/08_set/txt/g1_202637be-232a-11ed-b24f-6dbe51e79fca_4159.txt", "TXT")</f>
        <v/>
      </c>
    </row>
    <row r="413">
      <c r="A413" s="1" t="n">
        <v>411</v>
      </c>
      <c r="B413" t="n">
        <v>2021</v>
      </c>
      <c r="C413" s="2" t="n">
        <v>44467.40142834491</v>
      </c>
      <c r="D413" t="inlineStr">
        <is>
          <t>G1</t>
        </is>
      </c>
      <c r="E413" t="inlineStr">
        <is>
          <t>HAITIANOS</t>
        </is>
      </c>
      <c r="F413" t="inlineStr">
        <is>
          <t>MUNDO</t>
        </is>
      </c>
      <c r="G413" t="inlineStr">
        <is>
          <t>MARIANA SANCHES, BBC</t>
        </is>
      </c>
      <c r="H413" t="inlineStr">
        <is>
          <t>CRISE MIGRATÓRIA: EUA DEPORTAM 30 CRIANÇAS BRASILEIRAS PARA O HAITI</t>
        </is>
      </c>
      <c r="I413" t="inlineStr">
        <is>
          <t>DADOS OBTIDOS PELA BBC NEWS BRASIL FORAM CONSOLIDADOS PELA ORGANIZAÇÃO INTERNACIONAL PARA AS MIGRAÇÕES (OIM). MAIS DE 3,5 MIL PESSOAS JÁ FORAM DEPORTADAS PARA O PAÍS NOS ÚLTIMOS DIAS.</t>
        </is>
      </c>
      <c r="J413">
        <f>HYPERLINK("https://g1.globo.com/mundo/noticia/2021/09/28/crise-migratoria-eua-deportam-30-criancas-brasileiras-para-o-haiti.ghtml", "URL")</f>
        <v/>
      </c>
      <c r="K413">
        <f>HYPERLINK("https://raw.githubusercontent.com/marcosmapl/dataset_imigrantes/main/noticias_filtered/g1/haitianos/2021/08_set/html/g1_169d89a4-2311-11ed-b24f-6dbe51e79fca_2897.html", "HTML")</f>
        <v/>
      </c>
      <c r="L413">
        <f>HYPERLINK("https://raw.githubusercontent.com/marcosmapl/dataset_imigrantes/main/noticias_filtered/g1/haitianos/2021/08_set/txt/g1_169d89a4-2311-11ed-b24f-6dbe51e79fca_2897.txt", "TXT")</f>
        <v/>
      </c>
    </row>
    <row r="414">
      <c r="A414" s="1" t="n">
        <v>412</v>
      </c>
      <c r="B414" t="n">
        <v>2021</v>
      </c>
      <c r="C414" s="2" t="n">
        <v>44466.56519599537</v>
      </c>
      <c r="D414" t="inlineStr">
        <is>
          <t>G1</t>
        </is>
      </c>
      <c r="E414" t="inlineStr">
        <is>
          <t>HAITIANOS</t>
        </is>
      </c>
      <c r="F414" t="inlineStr">
        <is>
          <t>MUNDO</t>
        </is>
      </c>
      <c r="G414" t="inlineStr">
        <is>
          <t>BBC</t>
        </is>
      </c>
      <c r="H414" t="inlineStr">
        <is>
          <t>MIGRAÇÃO PARA OS EUA: 5 PERGUNTAS PARA ENTENDER ÊXODO DE HAITIANOS</t>
        </is>
      </c>
      <c r="I414" t="inlineStr">
        <is>
          <t>HAITIANOS ENFRENTAM GRAVE CRISE MIGRATÓRIA, COM MILHARES ACAMPANDO NA FRONTEIRA ENTRE ESTADOS UNIDOS E MÉXICO E OUTROS MILHARES DEPORTADOS PARA O HAITI DE SURPRESA.</t>
        </is>
      </c>
      <c r="J414">
        <f>HYPERLINK("https://g1.globo.com/mundo/noticia/2021/09/27/migracao-para-os-eua-5-perguntas-para-entender-exodo-de-haitianos.ghtml", "URL")</f>
        <v/>
      </c>
      <c r="K414">
        <f>HYPERLINK("https://raw.githubusercontent.com/marcosmapl/dataset_imigrantes/main/noticias_filtered/g1/haitianos/2021/08_set/html/g1_823dfea4-22f9-11ed-b24f-6dbe51e79fca_2166.html", "HTML")</f>
        <v/>
      </c>
      <c r="L414">
        <f>HYPERLINK("https://raw.githubusercontent.com/marcosmapl/dataset_imigrantes/main/noticias_filtered/g1/haitianos/2021/08_set/txt/g1_823dfea4-22f9-11ed-b24f-6dbe51e79fca_2166.txt", "TXT")</f>
        <v/>
      </c>
    </row>
    <row r="415">
      <c r="A415" s="1" t="n">
        <v>413</v>
      </c>
      <c r="B415" t="n">
        <v>2021</v>
      </c>
      <c r="C415" s="2" t="n">
        <v>44465.83891105324</v>
      </c>
      <c r="D415" t="inlineStr">
        <is>
          <t>G1</t>
        </is>
      </c>
      <c r="E415" t="inlineStr">
        <is>
          <t>VENEZUELANOS</t>
        </is>
      </c>
      <c r="F415" t="inlineStr">
        <is>
          <t>MUNDO</t>
        </is>
      </c>
      <c r="G415" t="inlineStr">
        <is>
          <t>FRANCE PRESSE</t>
        </is>
      </c>
      <c r="H415" t="inlineStr">
        <is>
          <t>MP CHILENO ABRE INVESTIGAÇÃO SOBRE PROTESTO CONTRA VENEZUELANOS</t>
        </is>
      </c>
      <c r="I415" t="inlineStr">
        <is>
          <t>CERCA DE 3.000 PESSOAS FORAM ÀS RUAS DE IQUIQUE, NO NORTE DO CHILE, PARA SE MANIFESTAR CONTRA IMIGRANTES IRREGULARES. GRUPO SE DIRIGIU A ACAMPAMENTO DE VENEZUELANOS E QUEIMOU PERTENCES COMO BARRACAS, COLCHÕES, BOLSAS E COBERTORES.</t>
        </is>
      </c>
      <c r="J415">
        <f>HYPERLINK("https://g1.globo.com/mundo/noticia/2021/09/26/mp-chileno-abre-investigacao-sobre-protesto-contra-venezuelanos.ghtml", "URL")</f>
        <v/>
      </c>
      <c r="K415">
        <f>HYPERLINK("https://raw.githubusercontent.com/marcosmapl/dataset_imigrantes/main/noticias_filtered/g1/venezuelanos/2021/08_set/html/g1_b28f26b8-231d-11ed-b24f-6dbe51e79fca_3516.html", "HTML")</f>
        <v/>
      </c>
      <c r="L415">
        <f>HYPERLINK("https://raw.githubusercontent.com/marcosmapl/dataset_imigrantes/main/noticias_filtered/g1/venezuelanos/2021/08_set/txt/g1_b28f26b8-231d-11ed-b24f-6dbe51e79fca_3516.txt", "TXT")</f>
        <v/>
      </c>
    </row>
    <row r="416">
      <c r="A416" s="1" t="n">
        <v>414</v>
      </c>
      <c r="B416" t="n">
        <v>2021</v>
      </c>
      <c r="C416" s="2" t="n">
        <v>44465.4646919213</v>
      </c>
      <c r="D416" t="inlineStr">
        <is>
          <t>G1</t>
        </is>
      </c>
      <c r="E416" t="inlineStr">
        <is>
          <t>HAITIANOS</t>
        </is>
      </c>
      <c r="F416" t="inlineStr">
        <is>
          <t>SOROCABA E JUNDIAÍ</t>
        </is>
      </c>
      <c r="G416" t="inlineStr">
        <is>
          <t>TALISSA MEDEIROS*, G1 SOROCABA E JUNDIAÍ</t>
        </is>
      </c>
      <c r="H416" t="inlineStr">
        <is>
          <t>HAITIANA TENTA TRAZER FILHO DE 6 ANOS AO BRASIL APÓS MORTE DOS PAIS DELA EM TERREMOTO: 'SOFRENDO DEMAIS'</t>
        </is>
      </c>
      <c r="I416" t="inlineStr">
        <is>
          <t>MULHER TENTA ARRECADAR DINHEIRO PARA QUE CRIANÇA, QUE ERA CUIDADA PELOS AVÓS NO HAITI, CONSIGA SER LEVADA ATÉ SOROCABA, NO INTERIOR DE SP; INSTITUTO AJUDA NA CAMPANHA.</t>
        </is>
      </c>
      <c r="J416">
        <f>HYPERLINK("https://g1.globo.com/sp/sorocaba-jundiai/noticia/2021/09/26/haitiana-tenta-trazer-filho-de-6-anos-ao-brasil-apos-morte-dos-pais-dela-em-terremoto-sofrendo-demais.ghtml", "URL")</f>
        <v/>
      </c>
      <c r="K416">
        <f>HYPERLINK("https://raw.githubusercontent.com/marcosmapl/dataset_imigrantes/main/noticias_filtered/g1/haitianos/2021/08_set/html/g1_9c566b88-232a-11ed-b24f-6dbe51e79fca_4190.html", "HTML")</f>
        <v/>
      </c>
      <c r="L416">
        <f>HYPERLINK("https://raw.githubusercontent.com/marcosmapl/dataset_imigrantes/main/noticias_filtered/g1/haitianos/2021/08_set/txt/g1_9c566b88-232a-11ed-b24f-6dbe51e79fca_4190.txt", "TXT")</f>
        <v/>
      </c>
    </row>
    <row r="417">
      <c r="A417" s="1" t="n">
        <v>415</v>
      </c>
      <c r="B417" t="n">
        <v>2021</v>
      </c>
      <c r="C417" s="2" t="n">
        <v>44465.3875</v>
      </c>
      <c r="D417" t="inlineStr">
        <is>
          <t>A CRITICA</t>
        </is>
      </c>
      <c r="E417" t="inlineStr">
        <is>
          <t>AMBOS</t>
        </is>
      </c>
      <c r="F417" t="inlineStr">
        <is>
          <t>MANAUS</t>
        </is>
      </c>
      <c r="G417" t="inlineStr">
        <is>
          <t>KAROL ROCHA</t>
        </is>
      </c>
      <c r="H417" t="inlineStr">
        <is>
          <t>REFÚGIO EDUCACIONAL: REDE PÚBLICA DE ENSINO DO AM COMPORTA MAIS DE 8 MIL ALUNOS ESTRANGEIROS</t>
        </is>
      </c>
      <c r="I417" t="inlineStr">
        <is>
          <t>VINDOS DE PAÍSES COMO VENEZUELA, HAITI, COLÔMBIA, PERU, ENTRE OUTROS, CADA ALUNO TEM UMA HISTÓRIA ÚNICA DE VIDA. ACOLHIMENTO, A INCLUSÃO, ALÉM DO ESTÍMULO À SOCIALIZAÇÃO SÃO PEÇAS FUNDAMENTAIS PARA GARANTIR O APRENDIZADO DELES</t>
        </is>
      </c>
      <c r="J417">
        <f>HYPERLINK("https://www.acritica.com/manaus/refugio-educacional-rede-publica-de-ensino-do-am-comporta-mais-de-8-mil-alunos-estrangeiros-1.8892", "URL")</f>
        <v/>
      </c>
      <c r="K417">
        <f>HYPERLINK("https://raw.githubusercontent.com/marcosmapl/dataset_imigrantes/main/noticias_filtered/a_critica/ambos/2021/08_set/html/1.8892_1195.html", "HTML")</f>
        <v/>
      </c>
      <c r="L417">
        <f>HYPERLINK("https://raw.githubusercontent.com/marcosmapl/dataset_imigrantes/main/noticias_filtered/a_critica/ambos/2021/08_set/txt/1.8892_1195.txt", "TXT")</f>
        <v/>
      </c>
    </row>
    <row r="418">
      <c r="A418" s="1" t="n">
        <v>416</v>
      </c>
      <c r="B418" t="n">
        <v>2021</v>
      </c>
      <c r="C418" s="2" t="n">
        <v>44464.90121024306</v>
      </c>
      <c r="D418" t="inlineStr">
        <is>
          <t>G1</t>
        </is>
      </c>
      <c r="E418" t="inlineStr">
        <is>
          <t>VENEZUELANOS</t>
        </is>
      </c>
      <c r="F418" t="inlineStr">
        <is>
          <t>MUNDO</t>
        </is>
      </c>
      <c r="G418" t="inlineStr">
        <is>
          <t>FRANCE PRESSE</t>
        </is>
      </c>
      <c r="H418" t="inlineStr">
        <is>
          <t>CHILENOS PROTESTAM CONTRA IMIGRANTES E QUEIMAM PERTENCES DE VENEZUELANOS</t>
        </is>
      </c>
      <c r="I418" t="inlineStr">
        <is>
          <t>MANIFESTAÇÃO ACONTECEU EM IQUIQUE, NO NORTE DO PAÍS, CIDADE A 2 MIL QUILÔMETROS DA CAPITAL SANTIAGO</t>
        </is>
      </c>
      <c r="J418">
        <f>HYPERLINK("https://g1.globo.com/mundo/noticia/2021/09/25/chilenos-protestam-contra-imigrantes-e-queimam-pertences-de-venezuelanos.ghtml", "URL")</f>
        <v/>
      </c>
      <c r="K418">
        <f>HYPERLINK("https://raw.githubusercontent.com/marcosmapl/dataset_imigrantes/main/noticias_filtered/g1/venezuelanos/2021/08_set/html/g1_5e2f777a-231e-11ed-b24f-6dbe51e79fca_3557.html", "HTML")</f>
        <v/>
      </c>
      <c r="L418">
        <f>HYPERLINK("https://raw.githubusercontent.com/marcosmapl/dataset_imigrantes/main/noticias_filtered/g1/venezuelanos/2021/08_set/txt/g1_5e2f777a-231e-11ed-b24f-6dbe51e79fca_3557.txt", "TXT")</f>
        <v/>
      </c>
    </row>
    <row r="419">
      <c r="A419" s="1" t="n">
        <v>417</v>
      </c>
      <c r="B419" t="n">
        <v>2021</v>
      </c>
      <c r="C419" s="2" t="n">
        <v>44463.98055555556</v>
      </c>
      <c r="D419" t="inlineStr">
        <is>
          <t>A CRITICA</t>
        </is>
      </c>
      <c r="E419" t="inlineStr">
        <is>
          <t>VENEZUELANOS</t>
        </is>
      </c>
      <c r="F419" t="inlineStr"/>
      <c r="G419" t="inlineStr">
        <is>
          <t>PORTAL A CRÍTICA E AGÊNCIAS</t>
        </is>
      </c>
      <c r="H419" t="inlineStr">
        <is>
          <t>OPERAÇÃO DA POLÍCIA CIVIL EM CAREIRO DA VÁRZEA E CAREIRO CASTANHO CUMPRE OITO MANDADOS DE PRISÃO</t>
        </is>
      </c>
      <c r="I419" t="inlineStr">
        <is>
          <t>AS ORDENS JUDICIAIS SÃO POR ESTUPRO DE VULNERÁVEL, HOMICÍDIO, ESTELIONATO E POR NÃO PAGAMENTO DE PENSÃO ALIMENTÍCIA</t>
        </is>
      </c>
      <c r="J419">
        <f>HYPERLINK("https://www.acritica.com/operac-o-da-policia-civil-em-careiro-da-varzea-e-careiro-castanho-cumpre-oito-mandados-de-pris-o-1.8881", "URL")</f>
        <v/>
      </c>
      <c r="K419">
        <f>HYPERLINK("https://raw.githubusercontent.com/marcosmapl/dataset_imigrantes/main/noticias_filtered/a_critica/venezuelanos/2021/08_set/html/1.8881_340.html", "HTML")</f>
        <v/>
      </c>
      <c r="L419">
        <f>HYPERLINK("https://raw.githubusercontent.com/marcosmapl/dataset_imigrantes/main/noticias_filtered/a_critica/venezuelanos/2021/08_set/txt/1.8881_340.txt", "TXT")</f>
        <v/>
      </c>
    </row>
    <row r="420">
      <c r="A420" s="1" t="n">
        <v>418</v>
      </c>
      <c r="B420" t="n">
        <v>2021</v>
      </c>
      <c r="C420" s="2" t="n">
        <v>44463.76199341435</v>
      </c>
      <c r="D420" t="inlineStr">
        <is>
          <t>G1</t>
        </is>
      </c>
      <c r="E420" t="inlineStr">
        <is>
          <t>HAITIANOS</t>
        </is>
      </c>
      <c r="F420" t="inlineStr">
        <is>
          <t>MUNDO</t>
        </is>
      </c>
      <c r="G420" t="inlineStr">
        <is>
          <t>REUTERS</t>
        </is>
      </c>
      <c r="H420" t="inlineStr">
        <is>
          <t>ONU CONSULTA BRASIL SOBRE RECEBER HAITIANOS ACAMPADOS NA FRONTEIRA ENTRE EUA E MÉXICO, DIZ AGÊNCIA</t>
        </is>
      </c>
      <c r="I420" t="inlineStr">
        <is>
          <t>A OIM (BRAÇO DAS NAÇÕES UNIDAS PARA MIGRAÇÃO) PEDIU AO GOVERNO BOLSONARO QUE RECEBA HAITIANOS QUE TÊM FILHOS BRASILEIROS OU QUE PASSARAM PELO BRASIL ANTES DE ENTRAREM NO MÉXICO.</t>
        </is>
      </c>
      <c r="J420">
        <f>HYPERLINK("https://g1.globo.com/mundo/noticia/2021/09/24/onu-consulta-brasil-sobre-receber-haitianos-acampados-na-fronteira-entre-eua-e-mexico-diz-agencia.ghtml", "URL")</f>
        <v/>
      </c>
      <c r="K420">
        <f>HYPERLINK("https://raw.githubusercontent.com/marcosmapl/dataset_imigrantes/main/noticias_filtered/g1/haitianos/2021/08_set/html/g1_86bf8172-22f0-11ed-b24f-6dbe51e79fca_1708.html", "HTML")</f>
        <v/>
      </c>
      <c r="L420">
        <f>HYPERLINK("https://raw.githubusercontent.com/marcosmapl/dataset_imigrantes/main/noticias_filtered/g1/haitianos/2021/08_set/txt/g1_86bf8172-22f0-11ed-b24f-6dbe51e79fca_1708.txt", "TXT")</f>
        <v/>
      </c>
    </row>
    <row r="421">
      <c r="A421" s="1" t="n">
        <v>419</v>
      </c>
      <c r="B421" t="n">
        <v>2021</v>
      </c>
      <c r="C421" s="2" t="n">
        <v>44463.67777777778</v>
      </c>
      <c r="D421" t="inlineStr">
        <is>
          <t>A CRITICA</t>
        </is>
      </c>
      <c r="E421" t="inlineStr">
        <is>
          <t>VENEZUELANOS</t>
        </is>
      </c>
      <c r="F421" t="inlineStr">
        <is>
          <t>ESPORTES</t>
        </is>
      </c>
      <c r="G421" t="inlineStr">
        <is>
          <t>PORTAL A CRÍTICA</t>
        </is>
      </c>
      <c r="H421" t="inlineStr">
        <is>
          <t>TITE ANUNCIA JOGADORES CONVOCADOS PARA PARTIDA DA SELEÇÃO BRASILEIRA EM MANAUS</t>
        </is>
      </c>
      <c r="I421" t="inlineStr">
        <is>
          <t>OS COMANDADOS DE TITE JOGARÃO NA ARENA DA AMAZÔNIA, CONTRA O URUGUAI, NO DIA 14 DE OUTUBRO</t>
        </is>
      </c>
      <c r="J421">
        <f>HYPERLINK("https://www.acritica.com/esportes/tite-anuncia-jogadores-convocados-para-partida-da-selec-o-brasileira-em-manaus-1.8911", "URL")</f>
        <v/>
      </c>
      <c r="K421">
        <f>HYPERLINK("https://raw.githubusercontent.com/marcosmapl/dataset_imigrantes/main/noticias_filtered/a_critica/venezuelanos/2021/08_set/html/1.8911_410.html", "HTML")</f>
        <v/>
      </c>
      <c r="L421">
        <f>HYPERLINK("https://raw.githubusercontent.com/marcosmapl/dataset_imigrantes/main/noticias_filtered/a_critica/venezuelanos/2021/08_set/txt/1.8911_410.txt", "TXT")</f>
        <v/>
      </c>
    </row>
    <row r="422">
      <c r="A422" s="1" t="n">
        <v>420</v>
      </c>
      <c r="B422" t="n">
        <v>2021</v>
      </c>
      <c r="C422" s="2" t="n">
        <v>44463.02885626158</v>
      </c>
      <c r="D422" t="inlineStr">
        <is>
          <t>G1</t>
        </is>
      </c>
      <c r="E422" t="inlineStr">
        <is>
          <t>HAITIANOS</t>
        </is>
      </c>
      <c r="F422" t="inlineStr">
        <is>
          <t>JORNAL NACIONAL</t>
        </is>
      </c>
      <c r="G422" t="inlineStr">
        <is>
          <t>JORNAL NACIONAL</t>
        </is>
      </c>
      <c r="H422" t="inlineStr">
        <is>
          <t>ENVIADO ESPECIAL DOS EUA AO HAITI PEDE DEMISSÃO APÓS DEPORTAÇÃO DE REFUGIADOS</t>
        </is>
      </c>
      <c r="I422" t="inlineStr">
        <is>
          <t>‘NÃO VOU SEGUIR ASSOCIADO COM A DECISÃO DESUMANA DE DEPORTAR MILHARES DE HAITIANOS’, DISSE NA CARTA EM QUE PEDE PARA DEIXAR O CARGO.</t>
        </is>
      </c>
      <c r="J422">
        <f>HYPERLINK("https://g1.globo.com/jornal-nacional/noticia/2021/09/23/enviado-especial-dos-eua-ao-haiti-pede-demissao-apos-deportacao-de-refugiados.ghtml", "URL")</f>
        <v/>
      </c>
      <c r="K422">
        <f>HYPERLINK("https://raw.githubusercontent.com/marcosmapl/dataset_imigrantes/main/noticias_filtered/g1/haitianos/2021/08_set/html/g1_d86ed102-22f1-11ed-b24f-6dbe51e79fca_1767.html", "HTML")</f>
        <v/>
      </c>
      <c r="L422">
        <f>HYPERLINK("https://raw.githubusercontent.com/marcosmapl/dataset_imigrantes/main/noticias_filtered/g1/haitianos/2021/08_set/txt/g1_d86ed102-22f1-11ed-b24f-6dbe51e79fca_1767.txt", "TXT")</f>
        <v/>
      </c>
    </row>
    <row r="423">
      <c r="A423" s="1" t="n">
        <v>421</v>
      </c>
      <c r="B423" t="n">
        <v>2021</v>
      </c>
      <c r="C423" s="2" t="n">
        <v>44462.89839052083</v>
      </c>
      <c r="D423" t="inlineStr">
        <is>
          <t>G1</t>
        </is>
      </c>
      <c r="E423" t="inlineStr">
        <is>
          <t>HAITIANOS</t>
        </is>
      </c>
      <c r="F423" t="inlineStr">
        <is>
          <t>MUNDO</t>
        </is>
      </c>
      <c r="G423" t="inlineStr">
        <is>
          <t>G1</t>
        </is>
      </c>
      <c r="H423" t="inlineStr">
        <is>
          <t>ENVIADO DOS EUA AO HAITI RENUNCIA E DENUNCIA DEPORTAÇÕES 'DESUMANAS' DE IMIGRANTES; ENTENDA A CRISE</t>
        </is>
      </c>
      <c r="I423" t="inlineStr">
        <is>
          <t>GOVERNO BIDEN COMEÇOU A DEPORTAR MILHARES DE HAITIANOS QUE CHEGARAM AO TEXAS PELA FRONTEIRA DO MÉXICO. REPRESENTANTE AMERICANO NO PAÍS MERGULHADO EM PROFUNDA MISÉRIA E CONVULSÃO SOCIAL DIZ QUE MANDÁ-LOS DE VOLTA É 'DECISÃO DESUMANA E CONTRAPRODUCENTE'.</t>
        </is>
      </c>
      <c r="J423">
        <f>HYPERLINK("https://g1.globo.com/mundo/noticia/2021/09/23/enviado-dos-eua-ao-haiti-renuncia-e-denuncia-deportacoes-desumanas-de-imigrantes-entenda-a-crise.ghtml", "URL")</f>
        <v/>
      </c>
      <c r="K423">
        <f>HYPERLINK("https://raw.githubusercontent.com/marcosmapl/dataset_imigrantes/main/noticias_filtered/g1/haitianos/2021/08_set/html/g1_d6f82ec4-22f9-11ed-b24f-6dbe51e79fca_2187.html", "HTML")</f>
        <v/>
      </c>
      <c r="L423">
        <f>HYPERLINK("https://raw.githubusercontent.com/marcosmapl/dataset_imigrantes/main/noticias_filtered/g1/haitianos/2021/08_set/txt/g1_d6f82ec4-22f9-11ed-b24f-6dbe51e79fca_2187.txt", "TXT")</f>
        <v/>
      </c>
    </row>
    <row r="424">
      <c r="A424" s="1" t="n">
        <v>422</v>
      </c>
      <c r="B424" t="n">
        <v>2021</v>
      </c>
      <c r="C424" s="2" t="n">
        <v>44462.62911436342</v>
      </c>
      <c r="D424" t="inlineStr">
        <is>
          <t>G1</t>
        </is>
      </c>
      <c r="E424" t="inlineStr">
        <is>
          <t>HAITIANOS</t>
        </is>
      </c>
      <c r="F424" t="inlineStr">
        <is>
          <t>MUNDO</t>
        </is>
      </c>
      <c r="G424" t="inlineStr">
        <is>
          <t>BBC</t>
        </is>
      </c>
      <c r="H424" t="inlineStr">
        <is>
          <t>IMIGRANTES DEPORTADOS DOS EUA: AS CENAS DE CAOS E REVOLTA EM AEROPORTO COM CHEGADA DE HAITIANOS</t>
        </is>
      </c>
      <c r="I424" t="inlineStr">
        <is>
          <t>IMAGENS DE VÍDEO REGISTRADAS NO AEROPORTO MOSTRAM PESSOAS LUTANDO PARA PEGAR SEUS PERTENCES PESSOAIS DEPOIS QUE AS BAGAGENS FORAM JOGADAS DE DENTRO DO AVIÃO ORIUNDO DOS EUA.</t>
        </is>
      </c>
      <c r="J424">
        <f>HYPERLINK("https://g1.globo.com/mundo/noticia/2021/09/23/imigrantes-deportados-dos-eua-as-cenas-de-caos-e-revolta-em-aeroporto-com-chegada-de-haitianos.ghtml", "URL")</f>
        <v/>
      </c>
      <c r="K424">
        <f>HYPERLINK("https://raw.githubusercontent.com/marcosmapl/dataset_imigrantes/main/noticias_filtered/g1/haitianos/2021/08_set/html/g1_28597b10-22fa-11ed-b24f-6dbe51e79fca_2202.html", "HTML")</f>
        <v/>
      </c>
      <c r="L424">
        <f>HYPERLINK("https://raw.githubusercontent.com/marcosmapl/dataset_imigrantes/main/noticias_filtered/g1/haitianos/2021/08_set/txt/g1_28597b10-22fa-11ed-b24f-6dbe51e79fca_2202.txt", "TXT")</f>
        <v/>
      </c>
    </row>
    <row r="425">
      <c r="A425" s="1" t="n">
        <v>423</v>
      </c>
      <c r="B425" t="n">
        <v>2021</v>
      </c>
      <c r="C425" s="2" t="n">
        <v>44462.52981986111</v>
      </c>
      <c r="D425" t="inlineStr">
        <is>
          <t>G1</t>
        </is>
      </c>
      <c r="E425" t="inlineStr">
        <is>
          <t>VENEZUELANOS</t>
        </is>
      </c>
      <c r="F425" t="inlineStr">
        <is>
          <t>MATO GROSSO DO SUL</t>
        </is>
      </c>
      <c r="G425" t="inlineStr">
        <is>
          <t>G1 MS</t>
        </is>
      </c>
      <c r="H425" t="inlineStr">
        <is>
          <t>'MEUS FILHOS QUASE MORRERAM. MEU CACHORRO MORREU', DESABAFA MULHER QUE PERDEU QUASE TUDO EM INCÊNDIO EM MS</t>
        </is>
      </c>
      <c r="I425" t="inlineStr">
        <is>
          <t>CASA ONDE ELA MORAVA COM TRÊS FILHOS E MAIS DOIS ADULTOS FICOU DESTRUÍDA. FAMÍLIA VENEZUELANA ESTAVA NO IMÓVEL HÁ CERCA DE DOIS MESES E AGORA PRECISA DE AJUDA.</t>
        </is>
      </c>
      <c r="J425">
        <f>HYPERLINK("https://g1.globo.com/ms/mato-grosso-do-sul/noticia/2021/09/23/meus-filhos-quase-morreu-meu-cachorro-morreu-desabafa-mulher-que-perdeu-quase-tudo-em-incendio-em-ms.ghtml", "URL")</f>
        <v/>
      </c>
      <c r="K425">
        <f>HYPERLINK("https://raw.githubusercontent.com/marcosmapl/dataset_imigrantes/main/noticias_filtered/g1/venezuelanos/2021/08_set/html/g1_ec42f22e-2307-11ed-b24f-6dbe51e79fca_2352.html", "HTML")</f>
        <v/>
      </c>
      <c r="L425">
        <f>HYPERLINK("https://raw.githubusercontent.com/marcosmapl/dataset_imigrantes/main/noticias_filtered/g1/venezuelanos/2021/08_set/txt/g1_ec42f22e-2307-11ed-b24f-6dbe51e79fca_2352.txt", "TXT")</f>
        <v/>
      </c>
    </row>
    <row r="426">
      <c r="A426" s="1" t="n">
        <v>424</v>
      </c>
      <c r="B426" t="n">
        <v>2021</v>
      </c>
      <c r="C426" s="2" t="n">
        <v>44461.53300251158</v>
      </c>
      <c r="D426" t="inlineStr">
        <is>
          <t>G1</t>
        </is>
      </c>
      <c r="E426" t="inlineStr">
        <is>
          <t>VENEZUELANOS</t>
        </is>
      </c>
      <c r="F426" t="inlineStr">
        <is>
          <t>MATO GROSSO DO SUL</t>
        </is>
      </c>
      <c r="G426" t="inlineStr">
        <is>
          <t>TV MORENA</t>
        </is>
      </c>
      <c r="H426" t="inlineStr">
        <is>
          <t>INCÊNDIO DESTRÓI CASA DE VENEZUELANOS QUE MORAVAM HÁ 2 MESES NO LOCAL, EM CAMPO GRANDE</t>
        </is>
      </c>
      <c r="I426" t="inlineStr">
        <is>
          <t>FOGO ACABOU COM MÓVEIS, ROUPAS, CALÇADOS E COM OS POUCOS ALIMENTOS QUE HAVIA NOS ARMÁRIOS.</t>
        </is>
      </c>
      <c r="J426">
        <f>HYPERLINK("https://g1.globo.com/ms/mato-grosso-do-sul/noticia/2021/09/22/incendio-destroi-casa-de-venezuelanos-que-moravam-ha-2-meses-no-local-em-campo-grande.ghtml", "URL")</f>
        <v/>
      </c>
      <c r="K426">
        <f>HYPERLINK("https://raw.githubusercontent.com/marcosmapl/dataset_imigrantes/main/noticias_filtered/g1/venezuelanos/2021/08_set/html/g1_a6524cfa-230d-11ed-b24f-6dbe51e79fca_2700.html", "HTML")</f>
        <v/>
      </c>
      <c r="L426">
        <f>HYPERLINK("https://raw.githubusercontent.com/marcosmapl/dataset_imigrantes/main/noticias_filtered/g1/venezuelanos/2021/08_set/txt/g1_a6524cfa-230d-11ed-b24f-6dbe51e79fca_2700.txt", "TXT")</f>
        <v/>
      </c>
    </row>
    <row r="427">
      <c r="A427" s="1" t="n">
        <v>425</v>
      </c>
      <c r="B427" t="n">
        <v>2021</v>
      </c>
      <c r="C427" s="2" t="n">
        <v>44460.85861111111</v>
      </c>
      <c r="D427" t="inlineStr">
        <is>
          <t>A CRITICA</t>
        </is>
      </c>
      <c r="E427" t="inlineStr">
        <is>
          <t>VENEZUELANOS</t>
        </is>
      </c>
      <c r="F427" t="inlineStr">
        <is>
          <t>OPINIAO</t>
        </is>
      </c>
      <c r="G427" t="inlineStr">
        <is>
          <t>DULCE RODRIGUEZ</t>
        </is>
      </c>
      <c r="H427" t="inlineStr">
        <is>
          <t>JÁ EXPERIMENTOU UMA AREPA VENEZUELANA?</t>
        </is>
      </c>
      <c r="I427" t="inlineStr">
        <is>
          <t>QUANDO UM VENEZUELANO QUER MATAR SAUDADE DE SEU LAR E SEUS COSTUMES, PREPARA UMA AREPA BEM GOSTOSA, DESSAS QUE TEM SABOR A FAMÍLIA.</t>
        </is>
      </c>
      <c r="J427">
        <f>HYPERLINK("https://www.acritica.com/opiniao/ja-experimentou-uma-arepa-venezuelana-1.215355", "URL")</f>
        <v/>
      </c>
      <c r="K427">
        <f>HYPERLINK("https://raw.githubusercontent.com/marcosmapl/dataset_imigrantes/main/noticias_filtered/a_critica/venezuelanos/2021/08_set/html/1.215355_912.html", "HTML")</f>
        <v/>
      </c>
      <c r="L427">
        <f>HYPERLINK("https://raw.githubusercontent.com/marcosmapl/dataset_imigrantes/main/noticias_filtered/a_critica/venezuelanos/2021/08_set/txt/1.215355_912.txt", "TXT")</f>
        <v/>
      </c>
    </row>
    <row r="428">
      <c r="A428" s="1" t="n">
        <v>426</v>
      </c>
      <c r="B428" t="n">
        <v>2021</v>
      </c>
      <c r="C428" s="2" t="n">
        <v>44460.50198585648</v>
      </c>
      <c r="D428" t="inlineStr">
        <is>
          <t>G1</t>
        </is>
      </c>
      <c r="E428" t="inlineStr">
        <is>
          <t>HAITIANOS</t>
        </is>
      </c>
      <c r="F428" t="inlineStr">
        <is>
          <t>MUNDO</t>
        </is>
      </c>
      <c r="G428" t="inlineStr">
        <is>
          <t>FRANCE PRESSE</t>
        </is>
      </c>
      <c r="H428" t="inlineStr">
        <is>
          <t>EUA INVESTIGAM POLICIAIS QUE AVANÇARAM COM CAVALOS SOBRE IMIGRANTES NA FRONTEIRA</t>
        </is>
      </c>
      <c r="I428" t="inlineStr">
        <is>
          <t>IMAGEM DO FOTÓGRAFO PAUL RATJE, DA AGÊNCIA DE NOTÍCIAS FRANCE PRESSE, MOSTRA AGENTE MONTADO SEGURANDO UM HOMEM PELA CAMISA E OUTRO TENTANDO FUGIR. HAITIANOS ESTÃO SENDO DEPORTADOS.</t>
        </is>
      </c>
      <c r="J428">
        <f>HYPERLINK("https://g1.globo.com/mundo/noticia/2021/09/21/eua-investigam-policiais-que-avancaram-com-cavalos-sobre-imigrantes-na-fronteira.ghtml", "URL")</f>
        <v/>
      </c>
      <c r="K428">
        <f>HYPERLINK("https://raw.githubusercontent.com/marcosmapl/dataset_imigrantes/main/noticias_filtered/g1/haitianos/2021/08_set/html/g1_c84e892a-22f6-11ed-b24f-6dbe51e79fca_2037.html", "HTML")</f>
        <v/>
      </c>
      <c r="L428">
        <f>HYPERLINK("https://raw.githubusercontent.com/marcosmapl/dataset_imigrantes/main/noticias_filtered/g1/haitianos/2021/08_set/txt/g1_c84e892a-22f6-11ed-b24f-6dbe51e79fca_2037.txt", "TXT")</f>
        <v/>
      </c>
    </row>
    <row r="429">
      <c r="A429" s="1" t="n">
        <v>427</v>
      </c>
      <c r="B429" t="n">
        <v>2021</v>
      </c>
      <c r="C429" s="2" t="n">
        <v>44460.36151951389</v>
      </c>
      <c r="D429" t="inlineStr">
        <is>
          <t>G1</t>
        </is>
      </c>
      <c r="E429" t="inlineStr">
        <is>
          <t>HAITIANOS</t>
        </is>
      </c>
      <c r="F429" t="inlineStr">
        <is>
          <t>PODCASTS</t>
        </is>
      </c>
      <c r="G429" t="inlineStr">
        <is>
          <t>G1</t>
        </is>
      </c>
      <c r="H429" t="inlineStr">
        <is>
          <t>RESUMÃO DIÁRIO #129: TERÇA-FEIRA, 21 DE SETEMBRO</t>
        </is>
      </c>
      <c r="I429" t="inlineStr">
        <is>
          <t>JAIR BOLSONARO DEVE DISCURSAR HOJE NA ABERTURA DA ASSEMBLEIA GERAL DA ONU. A CPI DA COVID ESPERA OUVIR O DEPOIMENTO DE WAGNER ROSÁRIO, MINISTRO DA CGU. A CRISE DA EMPRESA CHINESA EVERGRANDE DEIXA EM ALERTA O MERCADO FINANCEIRO E A ECONOMIA DA CHINA. E OS ESTADOS UNIDOS CONTINUAM HOJE A DEPORTAÇÃO DE QUASE 12 MIL HAITIANOS QUE ESTÃO ACAMPADOS NO TEXAS.</t>
        </is>
      </c>
      <c r="J429">
        <f>HYPERLINK("https://g1.globo.com/podcast/resumao-diario/noticia/2021/09/21/resumao-diario-129-terca-feira-21-de-setembro.ghtml", "URL")</f>
        <v/>
      </c>
      <c r="K429">
        <f>HYPERLINK("https://raw.githubusercontent.com/marcosmapl/dataset_imigrantes/main/noticias_filtered/g1/haitianos/2021/08_set/html/g1_ed53adce-22f4-11ed-b24f-6dbe51e79fca_1920.html", "HTML")</f>
        <v/>
      </c>
      <c r="L429">
        <f>HYPERLINK("https://raw.githubusercontent.com/marcosmapl/dataset_imigrantes/main/noticias_filtered/g1/haitianos/2021/08_set/txt/g1_ed53adce-22f4-11ed-b24f-6dbe51e79fca_1920.txt", "TXT")</f>
        <v/>
      </c>
    </row>
    <row r="430">
      <c r="A430" s="1" t="n">
        <v>428</v>
      </c>
      <c r="B430" t="n">
        <v>2021</v>
      </c>
      <c r="C430" s="2" t="n">
        <v>44459.627061875</v>
      </c>
      <c r="D430" t="inlineStr">
        <is>
          <t>G1</t>
        </is>
      </c>
      <c r="E430" t="inlineStr">
        <is>
          <t>HAITIANOS</t>
        </is>
      </c>
      <c r="F430" t="inlineStr">
        <is>
          <t>MUNDO</t>
        </is>
      </c>
      <c r="G430" t="inlineStr">
        <is>
          <t>G1</t>
        </is>
      </c>
      <c r="H430" t="inlineStr">
        <is>
          <t>EUA COMEÇAM A DEPORTAR HAITIANOS EM MASSA; CERCA DE 12 MIL DEVEM SER RETIRADOS DO PAÍS</t>
        </is>
      </c>
      <c r="I430" t="inlineStr">
        <is>
          <t>PODE SER QUE HAJA ATÉ SETE VOOS SEMANAIS COM DESTINO AO HAITI PARA QUE TODOS OS IMIGRANTES QUE FOREM DEPORTADOS SEJAM LEVADOS.</t>
        </is>
      </c>
      <c r="J430">
        <f>HYPERLINK("https://g1.globo.com/mundo/noticia/2021/09/20/eua-comecam-a-deportar-haitianos-em-massa-cerca-de-12-mil-devem-ser-retirados-do-pais.ghtml", "URL")</f>
        <v/>
      </c>
      <c r="K430">
        <f>HYPERLINK("https://raw.githubusercontent.com/marcosmapl/dataset_imigrantes/main/noticias_filtered/g1/haitianos/2021/08_set/html/g1_9ef4fff4-22f7-11ed-b24f-6dbe51e79fca_2087.html", "HTML")</f>
        <v/>
      </c>
      <c r="L430">
        <f>HYPERLINK("https://raw.githubusercontent.com/marcosmapl/dataset_imigrantes/main/noticias_filtered/g1/haitianos/2021/08_set/txt/g1_9ef4fff4-22f7-11ed-b24f-6dbe51e79fca_2087.txt", "TXT")</f>
        <v/>
      </c>
    </row>
    <row r="431">
      <c r="A431" s="1" t="n">
        <v>429</v>
      </c>
      <c r="B431" t="n">
        <v>2021</v>
      </c>
      <c r="C431" s="2" t="n">
        <v>44457.72618012731</v>
      </c>
      <c r="D431" t="inlineStr">
        <is>
          <t>G1</t>
        </is>
      </c>
      <c r="E431" t="inlineStr">
        <is>
          <t>HAITIANOS</t>
        </is>
      </c>
      <c r="F431" t="inlineStr">
        <is>
          <t>PARÁ</t>
        </is>
      </c>
      <c r="G431" t="inlineStr">
        <is>
          <t>G1 PA E TV LIBERAL — BELÉM</t>
        </is>
      </c>
      <c r="H431" t="inlineStr">
        <is>
          <t>CASAL DE HAITIANOS DESEMBARCADOS EM BELÉM É ISOLADO APÓS DIAGNÓSTICO DE COVID-19, DIZ INSTITUIÇÃO</t>
        </is>
      </c>
      <c r="I431" t="inlineStr">
        <is>
          <t>POLÍCIA FEDERAL INVESTIGA A CHEGADA DOS IMIGRANTES E DIZ QUE ELES ESTARIAM EM SITUAÇÃO DE TRÁFICO HUMANO E VULNERABILIDADE.</t>
        </is>
      </c>
      <c r="J431">
        <f>HYPERLINK("https://g1.globo.com/pa/para/noticia/2021/09/18/casal-de-haitianos-desembarcados-em-belem-e-isolado-apos-diagnostico-de-covid-19-diz-instituicao.ghtml", "URL")</f>
        <v/>
      </c>
      <c r="K431">
        <f>HYPERLINK("https://raw.githubusercontent.com/marcosmapl/dataset_imigrantes/main/noticias_filtered/g1/haitianos/2021/08_set/html/g1_82efb70a-22f1-11ed-b24f-6dbe51e79fca_1753.html", "HTML")</f>
        <v/>
      </c>
      <c r="L431">
        <f>HYPERLINK("https://raw.githubusercontent.com/marcosmapl/dataset_imigrantes/main/noticias_filtered/g1/haitianos/2021/08_set/txt/g1_82efb70a-22f1-11ed-b24f-6dbe51e79fca_1753.txt", "TXT")</f>
        <v/>
      </c>
    </row>
    <row r="432">
      <c r="A432" s="1" t="n">
        <v>430</v>
      </c>
      <c r="B432" t="n">
        <v>2021</v>
      </c>
      <c r="C432" s="2" t="n">
        <v>44457.05337822917</v>
      </c>
      <c r="D432" t="inlineStr">
        <is>
          <t>G1</t>
        </is>
      </c>
      <c r="E432" t="inlineStr">
        <is>
          <t>HAITIANOS</t>
        </is>
      </c>
      <c r="F432" t="inlineStr">
        <is>
          <t>AMAPÁ</t>
        </is>
      </c>
      <c r="G432" t="inlineStr">
        <is>
          <t>G1 AP — MACAPÁ</t>
        </is>
      </c>
      <c r="H432" t="inlineStr">
        <is>
          <t>'COIOTES' SÃO PRESOS POR FACILITAR ENTRADA DE HAITIANOS NO BRASIL PELA FRONTEIRA COM A GUIANA FRANCESA</t>
        </is>
      </c>
      <c r="I432" t="inlineStr">
        <is>
          <t>TRIO FOI DETIDO COM 13 HAITIANOS NA CIDADE FRONTEIRIÇA DE OIAPOQUE, NO EXTREMO NORTE DO AMAPÁ.</t>
        </is>
      </c>
      <c r="J432">
        <f>HYPERLINK("https://g1.globo.com/ap/amapa/noticia/2021/09/17/coiotes-sao-presos-por-facilitar-entrada-de-haitianos-no-brasil-pela-fronteira-com-a-guiana-francesa.ghtml", "URL")</f>
        <v/>
      </c>
      <c r="K432">
        <f>HYPERLINK("https://raw.githubusercontent.com/marcosmapl/dataset_imigrantes/main/noticias_filtered/g1/haitianos/2021/08_set/html/g1_fad16260-22fa-11ed-b24f-6dbe51e79fca_2254.html", "HTML")</f>
        <v/>
      </c>
      <c r="L432">
        <f>HYPERLINK("https://raw.githubusercontent.com/marcosmapl/dataset_imigrantes/main/noticias_filtered/g1/haitianos/2021/08_set/txt/g1_fad16260-22fa-11ed-b24f-6dbe51e79fca_2254.txt", "TXT")</f>
        <v/>
      </c>
    </row>
    <row r="433">
      <c r="A433" s="1" t="n">
        <v>431</v>
      </c>
      <c r="B433" t="n">
        <v>2021</v>
      </c>
      <c r="C433" s="2" t="n">
        <v>44457.04187570602</v>
      </c>
      <c r="D433" t="inlineStr">
        <is>
          <t>G1</t>
        </is>
      </c>
      <c r="E433" t="inlineStr">
        <is>
          <t>HAITIANOS</t>
        </is>
      </c>
      <c r="F433" t="inlineStr">
        <is>
          <t>PARÁ</t>
        </is>
      </c>
      <c r="G433" t="inlineStr">
        <is>
          <t>G1 PA — BELÉM</t>
        </is>
      </c>
      <c r="H433" t="inlineStr">
        <is>
          <t>AO MENOS 65 HAITIANOS DESEMBARCADOS EM BELÉM ESTARIAM EM SITUAÇÃO DE TRÁFICO HUMANO, DIZ PF</t>
        </is>
      </c>
      <c r="I433" t="inlineStr">
        <is>
          <t>ENTRE AS PESSOAS, ESTÃO AO MENOS 17 CRIANÇAS, QUE FORAM LEVADAS PARA UM ABRIGO NA CAPITAL DO PARÁ.</t>
        </is>
      </c>
      <c r="J433">
        <f>HYPERLINK("https://g1.globo.com/pa/para/noticia/2021/09/17/ao-menos-65-haitianos-desembarcados-em-belem-estariam-em-situacao-de-trafico-humano-diz-pf.ghtml", "URL")</f>
        <v/>
      </c>
      <c r="K433">
        <f>HYPERLINK("https://raw.githubusercontent.com/marcosmapl/dataset_imigrantes/main/noticias_filtered/g1/haitianos/2021/08_set/html/g1_7bdcbd1e-22f6-11ed-b24f-6dbe51e79fca_2016.html", "HTML")</f>
        <v/>
      </c>
      <c r="L433">
        <f>HYPERLINK("https://raw.githubusercontent.com/marcosmapl/dataset_imigrantes/main/noticias_filtered/g1/haitianos/2021/08_set/txt/g1_7bdcbd1e-22f6-11ed-b24f-6dbe51e79fca_2016.txt", "TXT")</f>
        <v/>
      </c>
    </row>
    <row r="434">
      <c r="A434" s="1" t="n">
        <v>432</v>
      </c>
      <c r="B434" t="n">
        <v>2021</v>
      </c>
      <c r="C434" s="2" t="n">
        <v>44455.75413133102</v>
      </c>
      <c r="D434" t="inlineStr">
        <is>
          <t>G1</t>
        </is>
      </c>
      <c r="E434" t="inlineStr">
        <is>
          <t>VENEZUELANOS</t>
        </is>
      </c>
      <c r="F434" t="inlineStr">
        <is>
          <t>RORAIMA</t>
        </is>
      </c>
      <c r="G434" t="inlineStr">
        <is>
          <t>G1 RR — BOA VISTA</t>
        </is>
      </c>
      <c r="H434" t="inlineStr">
        <is>
          <t>MIGRAÇÃO VENEZUELANA EM RORAIMA É TEMA DE DOCUMENTÁRIO PRODUZIDO PELA CÁRITAS</t>
        </is>
      </c>
      <c r="I434" t="inlineStr">
        <is>
          <t>O FILME SERÁ LANÇADO NO SÁBADO (18) E ABORDARÁ OS IMPACTOS DA OPERAÇÃO ORINOCO NA VIDA DAS FAMÍLIAS VENEZUELANAS.</t>
        </is>
      </c>
      <c r="J434">
        <f>HYPERLINK("https://g1.globo.com/rr/roraima/noticia/2021/09/16/migracao-venezuelana-em-roraima-e-tema-de-documentario-produzido-pela-caritas.ghtml", "URL")</f>
        <v/>
      </c>
      <c r="K434">
        <f>HYPERLINK("https://raw.githubusercontent.com/marcosmapl/dataset_imigrantes/main/noticias_filtered/g1/venezuelanos/2021/08_set/html/g1_21e2d622-230f-11ed-b24f-6dbe51e79fca_2780.html", "HTML")</f>
        <v/>
      </c>
      <c r="L434">
        <f>HYPERLINK("https://raw.githubusercontent.com/marcosmapl/dataset_imigrantes/main/noticias_filtered/g1/venezuelanos/2021/08_set/txt/g1_21e2d622-230f-11ed-b24f-6dbe51e79fca_2780.txt", "TXT")</f>
        <v/>
      </c>
    </row>
    <row r="435">
      <c r="A435" s="1" t="n">
        <v>433</v>
      </c>
      <c r="B435" t="n">
        <v>2021</v>
      </c>
      <c r="C435" s="2" t="n">
        <v>44455.55517620371</v>
      </c>
      <c r="D435" t="inlineStr">
        <is>
          <t>G1</t>
        </is>
      </c>
      <c r="E435" t="inlineStr">
        <is>
          <t>VENEZUELANOS</t>
        </is>
      </c>
      <c r="F435" t="inlineStr">
        <is>
          <t>RORAIMA</t>
        </is>
      </c>
      <c r="G435" t="inlineStr">
        <is>
          <t>G1 RR — BOA VISTA</t>
        </is>
      </c>
      <c r="H435" t="inlineStr">
        <is>
          <t>MIGRANTE VENEZUELANA FICA FERIDA AO SER ATROPELADA POR CARRETA EM FRENTE A POSTO DE TRIAGEM, EM RR</t>
        </is>
      </c>
      <c r="I435" t="inlineStr">
        <is>
          <t>VÍTIMA É DEFICIENTE FÍSICA E ESBARROU NA LATERAL DA CARRETA, SEGUNDO A POLÍCIA MILITAR. MOTORISTA DO VEÍCULO DISSE QUE NÃO VIU A JOVEM, PELO FATO DA CARRETA SER MUITO ALTA. ACIDENTE FOI EM PACARAIMA.</t>
        </is>
      </c>
      <c r="J435">
        <f>HYPERLINK("https://g1.globo.com/rr/roraima/noticia/2021/09/16/migrante-venezuelana-fica-ferida-ao-ser-atropelada-por-carreta-em-frente-a-posto-de-triagem-em-rr.ghtml", "URL")</f>
        <v/>
      </c>
      <c r="K435">
        <f>HYPERLINK("https://raw.githubusercontent.com/marcosmapl/dataset_imigrantes/main/noticias_filtered/g1/venezuelanos/2021/08_set/html/g1_35824f4e-232a-11ed-b24f-6dbe51e79fca_4163.html", "HTML")</f>
        <v/>
      </c>
      <c r="L435">
        <f>HYPERLINK("https://raw.githubusercontent.com/marcosmapl/dataset_imigrantes/main/noticias_filtered/g1/venezuelanos/2021/08_set/txt/g1_35824f4e-232a-11ed-b24f-6dbe51e79fca_4163.txt", "TXT")</f>
        <v/>
      </c>
    </row>
    <row r="436">
      <c r="A436" s="1" t="n">
        <v>434</v>
      </c>
      <c r="B436" t="n">
        <v>2021</v>
      </c>
      <c r="C436" s="2" t="n">
        <v>44453.81788917824</v>
      </c>
      <c r="D436" t="inlineStr">
        <is>
          <t>G1</t>
        </is>
      </c>
      <c r="E436" t="inlineStr">
        <is>
          <t>VENEZUELANOS</t>
        </is>
      </c>
      <c r="F436" t="inlineStr">
        <is>
          <t>RORAIMA</t>
        </is>
      </c>
      <c r="G436" t="inlineStr">
        <is>
          <t>G1 RR — BOA VISTA</t>
        </is>
      </c>
      <c r="H436" t="inlineStr">
        <is>
          <t>VENEZUELANO É MORTO COM PELO MENOS SETE TIROS EM BAR NA ZONA OESTE DE BOA VISTA</t>
        </is>
      </c>
      <c r="I436" t="inlineStr">
        <is>
          <t>CRIME FOI COMETIDO POR UMA DUPLA ARMADA. VÍTIMA AINDA NÃO IDENTIFICADA FOI ATINGIDA NAS COSTAS, BRAÇOS E ABDÔMEN, SEGUNDO A PM.</t>
        </is>
      </c>
      <c r="J436">
        <f>HYPERLINK("https://g1.globo.com/rr/roraima/noticia/2021/09/14/venezuelano-e-morto-com-pelo-menos-sete-tiros-em-bar-na-zona-oeste-de-boa-vista.ghtml", "URL")</f>
        <v/>
      </c>
      <c r="K436">
        <f>HYPERLINK("https://raw.githubusercontent.com/marcosmapl/dataset_imigrantes/main/noticias_filtered/g1/venezuelanos/2021/08_set/html/g1_40428786-230d-11ed-b24f-6dbe51e79fca_2676.html", "HTML")</f>
        <v/>
      </c>
      <c r="L436">
        <f>HYPERLINK("https://raw.githubusercontent.com/marcosmapl/dataset_imigrantes/main/noticias_filtered/g1/venezuelanos/2021/08_set/txt/g1_40428786-230d-11ed-b24f-6dbe51e79fca_2676.txt", "TXT")</f>
        <v/>
      </c>
    </row>
    <row r="437">
      <c r="A437" s="1" t="n">
        <v>435</v>
      </c>
      <c r="B437" t="n">
        <v>2021</v>
      </c>
      <c r="C437" s="2" t="n">
        <v>44453.7139962037</v>
      </c>
      <c r="D437" t="inlineStr">
        <is>
          <t>G1</t>
        </is>
      </c>
      <c r="E437" t="inlineStr">
        <is>
          <t>HAITIANOS</t>
        </is>
      </c>
      <c r="F437" t="inlineStr">
        <is>
          <t>MUNDO</t>
        </is>
      </c>
      <c r="G437" t="inlineStr">
        <is>
          <t>G1</t>
        </is>
      </c>
      <c r="H437" t="inlineStr">
        <is>
          <t>ASSASSINATO DO PRESIDENTE DO HAITI: PROMOTOR PEDE DENÚNCIA CONTRA O PREMIÊ E É DEMITIDO EM SEGUIDA</t>
        </is>
      </c>
      <c r="I437" t="inlineStr">
        <is>
          <t>POUCO ANTES DE SER DEMITIDO DO CARGO, PROMOTOR-CHEFE DO PAÍS PEDIU AO JUIZ DO CASO PARA DENUNCIAR ARIEL HENRY, QUE FALOU COM UM DOS PRINCIPAIS SUSPEITOS DO CRIME E, PORTANTO, FOI CONSIDERADO PELO PROCURADOR SUSPEITO DE PARTICIPAR DO ASSASSINATO. MOISE FOI EXECUTADO EM CASA EM JULHO.</t>
        </is>
      </c>
      <c r="J437">
        <f>HYPERLINK("https://g1.globo.com/mundo/noticia/2021/09/14/premie-do-haiti-e-investigado-por-envolvimento-na-morte-do-ex-presidente-jovenel-moise.ghtml", "URL")</f>
        <v/>
      </c>
      <c r="K437">
        <f>HYPERLINK("https://raw.githubusercontent.com/marcosmapl/dataset_imigrantes/main/noticias_filtered/g1/haitianos/2021/08_set/html/g1_e1b7deba-2324-11ed-b24f-6dbe51e79fca_3887.html", "HTML")</f>
        <v/>
      </c>
      <c r="L437">
        <f>HYPERLINK("https://raw.githubusercontent.com/marcosmapl/dataset_imigrantes/main/noticias_filtered/g1/haitianos/2021/08_set/txt/g1_e1b7deba-2324-11ed-b24f-6dbe51e79fca_3887.txt", "TXT")</f>
        <v/>
      </c>
    </row>
    <row r="438">
      <c r="A438" s="1" t="n">
        <v>436</v>
      </c>
      <c r="B438" t="n">
        <v>2021</v>
      </c>
      <c r="C438" s="2" t="n">
        <v>44453.65072916666</v>
      </c>
      <c r="D438" t="inlineStr">
        <is>
          <t>A CRITICA</t>
        </is>
      </c>
      <c r="E438" t="inlineStr">
        <is>
          <t>VENEZUELANOS</t>
        </is>
      </c>
      <c r="F438" t="inlineStr"/>
      <c r="G438" t="inlineStr">
        <is>
          <t>AFP</t>
        </is>
      </c>
      <c r="H438" t="inlineStr">
        <is>
          <t>VENEZUELANAS BUSCAM TRANSIÇÃO CAPILAR NA LUTA CONTRA O RACISMO</t>
        </is>
      </c>
      <c r="I438" t="inlineStr">
        <is>
          <t>A VENEZUELA, ASSIM COMO O BRASIL, TEM UMA POPULAÇÃO MUITO DIVERSIFICADA, RESULTADO DA MISCIGENAÇÃO ENTRE INDÍGENAS, CONQUISTADORES ESPANHÓIS QUE CHEGARAM EM 1498 E OS ESCRAVOS AFRICANOS QUE FORAM LEVADOS PARA AS COLÔNIAS</t>
        </is>
      </c>
      <c r="J438">
        <f>HYPERLINK("https://www.acritica.com/venezuelanas-buscam-transic-o-capilar-na-luta-contra-o-racismo-1.10610", "URL")</f>
        <v/>
      </c>
      <c r="K438">
        <f>HYPERLINK("https://raw.githubusercontent.com/marcosmapl/dataset_imigrantes/main/noticias_filtered/a_critica/venezuelanos/2021/08_set/html/1.10610_908.html", "HTML")</f>
        <v/>
      </c>
      <c r="L438">
        <f>HYPERLINK("https://raw.githubusercontent.com/marcosmapl/dataset_imigrantes/main/noticias_filtered/a_critica/venezuelanos/2021/08_set/txt/1.10610_908.txt", "TXT")</f>
        <v/>
      </c>
    </row>
    <row r="439">
      <c r="A439" s="1" t="n">
        <v>437</v>
      </c>
      <c r="B439" t="n">
        <v>2021</v>
      </c>
      <c r="C439" s="2" t="n">
        <v>44453.04998619213</v>
      </c>
      <c r="D439" t="inlineStr">
        <is>
          <t>G1</t>
        </is>
      </c>
      <c r="E439" t="inlineStr">
        <is>
          <t>VENEZUELANOS</t>
        </is>
      </c>
      <c r="F439" t="inlineStr">
        <is>
          <t>JORNAL NACIONAL</t>
        </is>
      </c>
      <c r="G439" t="inlineStr">
        <is>
          <t>JORNAL NACIONAL</t>
        </is>
      </c>
      <c r="H439" t="inlineStr">
        <is>
          <t>MAIS DE 4 MIL VENEZUELANOS REFUGIADOS NO BRASIL VIVEM NAS RUAS DE PACARAIMA (RR)</t>
        </is>
      </c>
      <c r="I439" t="inlineStr">
        <is>
          <t>O GOVERNO BRASILEIRO RECEBE TODOS QUE CRUZAM A FRONTEIRA, ILEGAIS OU NÃO. DESDE JUNHO, MAIS DE 30 MIL PESSOAS FORAM ATENDIDAS NO POSTO DE TRIAGEM.</t>
        </is>
      </c>
      <c r="J439">
        <f>HYPERLINK("https://g1.globo.com/jornal-nacional/noticia/2021/09/13/mais-de-4-mil-venezuelanos-refugiados-no-brasil-vivem-nas-ruas-de-pacaraima-rr.ghtml", "URL")</f>
        <v/>
      </c>
      <c r="K439">
        <f>HYPERLINK("https://raw.githubusercontent.com/marcosmapl/dataset_imigrantes/main/noticias_filtered/g1/venezuelanos/2021/08_set/html/g1_4a1b7ab2-2315-11ed-b24f-6dbe51e79fca_3077.html", "HTML")</f>
        <v/>
      </c>
      <c r="L439">
        <f>HYPERLINK("https://raw.githubusercontent.com/marcosmapl/dataset_imigrantes/main/noticias_filtered/g1/venezuelanos/2021/08_set/txt/g1_4a1b7ab2-2315-11ed-b24f-6dbe51e79fca_3077.txt", "TXT")</f>
        <v/>
      </c>
    </row>
    <row r="440">
      <c r="A440" s="1" t="n">
        <v>438</v>
      </c>
      <c r="B440" t="n">
        <v>2021</v>
      </c>
      <c r="C440" s="2" t="n">
        <v>44452.76390226852</v>
      </c>
      <c r="D440" t="inlineStr">
        <is>
          <t>G1</t>
        </is>
      </c>
      <c r="E440" t="inlineStr">
        <is>
          <t>HAITIANOS</t>
        </is>
      </c>
      <c r="F440" t="inlineStr">
        <is>
          <t>MINAS GERAIS</t>
        </is>
      </c>
      <c r="G440" t="inlineStr">
        <is>
          <t>RAQUEL FREITAS, G1 MINAS — BELO HORIZONTE</t>
        </is>
      </c>
      <c r="H440" t="inlineStr">
        <is>
          <t>'CADA DIA É UMA BATALHA PARA SOBREVIVÊNCIA', DIZ BOMBEIRO DE MG SOBRE HAITIANOS AO RETORNAR DE MISSÃO HUMANITÁRIA</t>
        </is>
      </c>
      <c r="I440" t="inlineStr">
        <is>
          <t>MILITARES DE MINAS E DO DF, ALÉM DE INTEGRANTES DA FORÇA NACIONAL, PASSARAM 21 DIAS NO PAÍS CARIBENHO DEVASTADO POR TERREMOTOS.</t>
        </is>
      </c>
      <c r="J440">
        <f>HYPERLINK("https://g1.globo.com/mg/minas-gerais/noticia/2021/09/13/cada-dia-e-uma-batalha-para-sobrevivencia-diz-bombeiro-de-mg-sobre-haitianos-ao-retornar-de-missao-humanitaria.ghtml", "URL")</f>
        <v/>
      </c>
      <c r="K440">
        <f>HYPERLINK("https://raw.githubusercontent.com/marcosmapl/dataset_imigrantes/main/noticias_filtered/g1/haitianos/2021/08_set/html/g1_956abb96-22ec-11ed-b24f-6dbe51e79fca_1662.html", "HTML")</f>
        <v/>
      </c>
      <c r="L440">
        <f>HYPERLINK("https://raw.githubusercontent.com/marcosmapl/dataset_imigrantes/main/noticias_filtered/g1/haitianos/2021/08_set/txt/g1_956abb96-22ec-11ed-b24f-6dbe51e79fca_1662.txt", "TXT")</f>
        <v/>
      </c>
    </row>
    <row r="441">
      <c r="A441" s="1" t="n">
        <v>439</v>
      </c>
      <c r="B441" t="n">
        <v>2021</v>
      </c>
      <c r="C441" s="2" t="n">
        <v>44452.63616575232</v>
      </c>
      <c r="D441" t="inlineStr">
        <is>
          <t>G1</t>
        </is>
      </c>
      <c r="E441" t="inlineStr">
        <is>
          <t>HAITIANOS</t>
        </is>
      </c>
      <c r="F441" t="inlineStr">
        <is>
          <t>DISTRITO FEDERAL</t>
        </is>
      </c>
      <c r="G441" t="inlineStr">
        <is>
          <t>MARÍLIA MARQUES, G1 DF</t>
        </is>
      </c>
      <c r="H441" t="inlineStr">
        <is>
          <t>BOMBEIROS QUE ATUARAM EM MISSÃO HUMANITÁRIA NO HAITI RETORNAM AO DF APÓS 21 DIAS</t>
        </is>
      </c>
      <c r="I441" t="inlineStr">
        <is>
          <t>MILITARES DA CORPORAÇÃO E DA FORÇA NACIONAL LEVARAM EQUIPAMENTOS DE EMERGÊNCIA E INSUMOS APÓS TERREMOTOS E CICLONE TROPICAL ATINGIREM PAÍS CARIBENHO. DESASTRE DEIXOU PELO MENOS 2,2 MIL MORTOS.</t>
        </is>
      </c>
      <c r="J441">
        <f>HYPERLINK("https://g1.globo.com/df/distrito-federal/noticia/2021/09/13/bombeiros-que-atuaram-em-missao-humanitaria-no-haiti-retornam-ao-df-apos-21-dias.ghtml", "URL")</f>
        <v/>
      </c>
      <c r="K441">
        <f>HYPERLINK("https://raw.githubusercontent.com/marcosmapl/dataset_imigrantes/main/noticias_filtered/g1/haitianos/2021/08_set/html/g1_102d8732-2324-11ed-b24f-6dbe51e79fca_3846.html", "HTML")</f>
        <v/>
      </c>
      <c r="L441">
        <f>HYPERLINK("https://raw.githubusercontent.com/marcosmapl/dataset_imigrantes/main/noticias_filtered/g1/haitianos/2021/08_set/txt/g1_102d8732-2324-11ed-b24f-6dbe51e79fca_3846.txt", "TXT")</f>
        <v/>
      </c>
    </row>
    <row r="442">
      <c r="A442" s="1" t="n">
        <v>440</v>
      </c>
      <c r="B442" t="n">
        <v>2021</v>
      </c>
      <c r="C442" s="2" t="n">
        <v>44451.55209065972</v>
      </c>
      <c r="D442" t="inlineStr">
        <is>
          <t>G1</t>
        </is>
      </c>
      <c r="E442" t="inlineStr">
        <is>
          <t>VENEZUELANOS</t>
        </is>
      </c>
      <c r="F442" t="inlineStr">
        <is>
          <t>AMAZONAS</t>
        </is>
      </c>
      <c r="G442" t="inlineStr">
        <is>
          <t>KARLA MENDES, G1 AM</t>
        </is>
      </c>
      <c r="H442" t="inlineStr">
        <is>
          <t>ADVOGADO VENEZUELANO CONTA COMO RECONSTRUIU A CARREIRA NO AMAZONAS</t>
        </is>
      </c>
      <c r="I442" t="inlineStr">
        <is>
          <t>EM MANAUS, ELIUD RAFAEL HERNANDEZ CONSEGUIU SE REINVENTAR NA PROFISSÃO ATRAVÉS DE DIVERSAS TENTATIVAS, QUE FORAM DESDE VENDER SUCO NO SEMÁFORO E TRABALHAR COMO SAPATEIRO NO CENTRO DA CIDADE, ATÉ CONSEGUIR UMA VAGA NA ORDEM DOS ADVOGADOS DO AMAZONAS.</t>
        </is>
      </c>
      <c r="J442">
        <f>HYPERLINK("https://g1.globo.com/am/amazonas/noticia/2021/09/12/advogado-venezuelano-conta-como-reconstruiu-a-carreira-no-amazonas.ghtml", "URL")</f>
        <v/>
      </c>
      <c r="K442">
        <f>HYPERLINK("https://raw.githubusercontent.com/marcosmapl/dataset_imigrantes/main/noticias_filtered/g1/venezuelanos/2021/08_set/html/g1_6d892420-2308-11ed-b24f-6dbe51e79fca_2384.html", "HTML")</f>
        <v/>
      </c>
      <c r="L442">
        <f>HYPERLINK("https://raw.githubusercontent.com/marcosmapl/dataset_imigrantes/main/noticias_filtered/g1/venezuelanos/2021/08_set/txt/g1_6d892420-2308-11ed-b24f-6dbe51e79fca_2384.txt", "TXT")</f>
        <v/>
      </c>
    </row>
    <row r="443">
      <c r="A443" s="1" t="n">
        <v>441</v>
      </c>
      <c r="B443" t="n">
        <v>2021</v>
      </c>
      <c r="C443" s="2" t="n">
        <v>44449.9778078588</v>
      </c>
      <c r="D443" t="inlineStr">
        <is>
          <t>G1</t>
        </is>
      </c>
      <c r="E443" t="inlineStr">
        <is>
          <t>VENEZUELANOS</t>
        </is>
      </c>
      <c r="F443" t="inlineStr">
        <is>
          <t>ZONA DA MATA</t>
        </is>
      </c>
      <c r="G443" t="inlineStr">
        <is>
          <t>G1 ZONA DA MATA</t>
        </is>
      </c>
      <c r="H443" t="inlineStr">
        <is>
          <t>VENEZUELANOS VOLTAM A SER ABRIGADOS PELA PREFEITURA EM JUIZ DE FORA</t>
        </is>
      </c>
      <c r="I443" t="inlineStr">
        <is>
          <t>O GRUPO IRÁ PASSAR A NOITE DE SEXTA-FEIRA (10) NO GINÁSIO DA SECRETARIA DE ESPORTES. NA QUINTA-FEIRA (9), A TV INTEGRAÇÃO MOSTROU QUE OS IMIGRANTES HAVIAM SIDO RETIRADOS DE UM ABRIGO NO BAIRRO BONFIM.</t>
        </is>
      </c>
      <c r="J443">
        <f>HYPERLINK("https://g1.globo.com/mg/zona-da-mata/noticia/2021/09/10/venezuelanos-voltam-a-ser-abrigados-pela-prefeitura-em-juiz-de-fora.ghtml", "URL")</f>
        <v/>
      </c>
      <c r="K443">
        <f>HYPERLINK("https://raw.githubusercontent.com/marcosmapl/dataset_imigrantes/main/noticias_filtered/g1/venezuelanos/2021/08_set/html/g1_c5ed58a8-231b-11ed-b24f-6dbe51e79fca_3406.html", "HTML")</f>
        <v/>
      </c>
      <c r="L443">
        <f>HYPERLINK("https://raw.githubusercontent.com/marcosmapl/dataset_imigrantes/main/noticias_filtered/g1/venezuelanos/2021/08_set/txt/g1_c5ed58a8-231b-11ed-b24f-6dbe51e79fca_3406.txt", "TXT")</f>
        <v/>
      </c>
    </row>
    <row r="444">
      <c r="A444" s="1" t="n">
        <v>442</v>
      </c>
      <c r="B444" t="n">
        <v>2021</v>
      </c>
      <c r="C444" s="2" t="n">
        <v>44448.7868205787</v>
      </c>
      <c r="D444" t="inlineStr">
        <is>
          <t>G1</t>
        </is>
      </c>
      <c r="E444" t="inlineStr">
        <is>
          <t>VENEZUELANOS</t>
        </is>
      </c>
      <c r="F444" t="inlineStr">
        <is>
          <t>PIAUÍ</t>
        </is>
      </c>
      <c r="G444" t="inlineStr">
        <is>
          <t>LAURA MOURA, G1 PI</t>
        </is>
      </c>
      <c r="H444" t="inlineStr">
        <is>
          <t>MULHER VENEZUELANA É PRESA SUSPEITA DE AGREDIR FILHA DE 2 ANOS COM SOCOS EM ABRIGO DE TERESINA</t>
        </is>
      </c>
      <c r="I444" t="inlineStr">
        <is>
          <t>A CRIANÇA FOI TRANSFERIDA PARA UM ABRIGO EM TERESINA. JÁ A MÃE PASSOU POR UMA AUDIÊNCIA DE CUSTÓDIA NA TARDE DESTA QUINTA-FEIRA (9) E A JUSTIÇA DETERMINOU A SUA SOLTURA.</t>
        </is>
      </c>
      <c r="J444">
        <f>HYPERLINK("https://g1.globo.com/pi/piaui/noticia/2021/09/09/mulher-venezuelana-e-suspeita-de-agredir-filha-de-2-anos-com-socos-em-abrigo-de-teresina.ghtml", "URL")</f>
        <v/>
      </c>
      <c r="K444">
        <f>HYPERLINK("https://raw.githubusercontent.com/marcosmapl/dataset_imigrantes/main/noticias_filtered/g1/venezuelanos/2021/08_set/html/g1_1c69853a-2326-11ed-b24f-6dbe51e79fca_3955.html", "HTML")</f>
        <v/>
      </c>
      <c r="L444">
        <f>HYPERLINK("https://raw.githubusercontent.com/marcosmapl/dataset_imigrantes/main/noticias_filtered/g1/venezuelanos/2021/08_set/txt/g1_1c69853a-2326-11ed-b24f-6dbe51e79fca_3955.txt", "TXT")</f>
        <v/>
      </c>
    </row>
    <row r="445">
      <c r="A445" s="1" t="n">
        <v>443</v>
      </c>
      <c r="B445" t="n">
        <v>2021</v>
      </c>
      <c r="C445" s="2" t="n">
        <v>44448.55459478009</v>
      </c>
      <c r="D445" t="inlineStr">
        <is>
          <t>G1</t>
        </is>
      </c>
      <c r="E445" t="inlineStr">
        <is>
          <t>VENEZUELANOS</t>
        </is>
      </c>
      <c r="F445" t="inlineStr">
        <is>
          <t>ZONA DA MATA</t>
        </is>
      </c>
      <c r="G445" t="inlineStr">
        <is>
          <t>INTEGRAÇÃO NOTÍCIA</t>
        </is>
      </c>
      <c r="H445" t="inlineStr">
        <is>
          <t>VENEZUELANOS SÃO RETIRADOS DE ABRIGO TEMPORÁRIO EM JUIZ DE FORA</t>
        </is>
      </c>
      <c r="I445" t="inlineStr">
        <is>
          <t>LOCAL ABRIGAVA 18 REFUGIADOS QUE CHEGARAM NA CIDADE HÁ CERCA DE 3 MESES; PREFEITURA INFORMOU QUE O ESPAÇO É USADO PARA ABRIGAR PESSOAS EM SITUAÇÃO DE RUA COM SINTOMAS DE COVID-19 E QUE OS VENEZUELANOS FORAM INFORMADOS QUE DEVERIAM DEIXAR O LOCAL ATÉ QUARTA-FEIRA (8).</t>
        </is>
      </c>
      <c r="J445">
        <f>HYPERLINK("https://g1.globo.com/mg/zona-da-mata/noticia/2021/09/09/venezuelanos-sao-retirados-de-abrigo-temporario-em-juiz-de-fora.ghtml", "URL")</f>
        <v/>
      </c>
      <c r="K445">
        <f>HYPERLINK("https://raw.githubusercontent.com/marcosmapl/dataset_imigrantes/main/noticias_filtered/g1/venezuelanos/2021/08_set/html/g1_1dc472c0-2329-11ed-b24f-6dbe51e79fca_4099.html", "HTML")</f>
        <v/>
      </c>
      <c r="L445">
        <f>HYPERLINK("https://raw.githubusercontent.com/marcosmapl/dataset_imigrantes/main/noticias_filtered/g1/venezuelanos/2021/08_set/txt/g1_1dc472c0-2329-11ed-b24f-6dbe51e79fca_4099.txt", "TXT")</f>
        <v/>
      </c>
    </row>
    <row r="446">
      <c r="A446" s="1" t="n">
        <v>444</v>
      </c>
      <c r="B446" t="n">
        <v>2021</v>
      </c>
      <c r="C446" s="2" t="n">
        <v>44447.9612037037</v>
      </c>
      <c r="D446" t="inlineStr">
        <is>
          <t>A CRITICA</t>
        </is>
      </c>
      <c r="E446" t="inlineStr">
        <is>
          <t>VENEZUELANOS</t>
        </is>
      </c>
      <c r="F446" t="inlineStr">
        <is>
          <t>POLICIA</t>
        </is>
      </c>
      <c r="G446" t="inlineStr">
        <is>
          <t>THIAGO MONTEIRO</t>
        </is>
      </c>
      <c r="H446" t="inlineStr">
        <is>
          <t>SUSPEITO DE ENVOLVIMENTO EM HOMICÍDIOS PRATICADOS POR FACÇÃO CRIMINOSA É PRESO NA ZONA LESTE DE MANAUS</t>
        </is>
      </c>
      <c r="I446" t="inlineStr">
        <is>
          <t>ACUSADO FAZIA A LOGÍSTICA DOS CRIMES A SEREM COMETIDOS PELA ORGANIZAÇÃO, MARCANDO CASAS DAS VÍTIMAS E DIVULGANDO IMAGENS DOS CRIMES PELO WHATSAPP</t>
        </is>
      </c>
      <c r="J446">
        <f>HYPERLINK("https://www.acritica.com/policia/suspeito-de-envolvimento-em-homicidios-praticados-por-facc-o-criminosa-e-preso-na-zona-leste-de-manaus-1.10878", "URL")</f>
        <v/>
      </c>
      <c r="K446">
        <f>HYPERLINK("https://raw.githubusercontent.com/marcosmapl/dataset_imigrantes/main/noticias_filtered/a_critica/venezuelanos/2021/08_set/html/1.10878_675.html", "HTML")</f>
        <v/>
      </c>
      <c r="L446">
        <f>HYPERLINK("https://raw.githubusercontent.com/marcosmapl/dataset_imigrantes/main/noticias_filtered/a_critica/venezuelanos/2021/08_set/txt/1.10878_675.txt", "TXT")</f>
        <v/>
      </c>
    </row>
    <row r="447">
      <c r="A447" s="1" t="n">
        <v>445</v>
      </c>
      <c r="B447" t="n">
        <v>2021</v>
      </c>
      <c r="C447" s="2" t="n">
        <v>44447.83829587963</v>
      </c>
      <c r="D447" t="inlineStr">
        <is>
          <t>G1</t>
        </is>
      </c>
      <c r="E447" t="inlineStr">
        <is>
          <t>AMBOS</t>
        </is>
      </c>
      <c r="F447" t="inlineStr">
        <is>
          <t>ACRE</t>
        </is>
      </c>
      <c r="G447" t="inlineStr">
        <is>
          <t>TÁCITA MUNIZ, G1 AC — RIO BRANCO</t>
        </is>
      </c>
      <c r="H447" t="inlineStr">
        <is>
          <t>MAIS DE 450 FILHOS DE IMIGRANTES NASCERAM NO ACRE ENTRE 2011 E 2019, APONTA IBGE</t>
        </is>
      </c>
      <c r="I447" t="inlineStr">
        <is>
          <t>ESTATÍSTICAS DO REGISTRO CIVIL DISPONIBILIZAM DADOS SOBRE NASCIDOS VIVOS, MORTES E CASAMENTO SOBRE IMIGRANTES NESSES OITO ANOS.</t>
        </is>
      </c>
      <c r="J447">
        <f>HYPERLINK("https://g1.globo.com/ac/acre/noticia/2021/09/08/mais-de-450-filhos-de-imigrantes-nasceram-no-acre-entre-2011-e-2019-aponta-ibge.ghtml", "URL")</f>
        <v/>
      </c>
      <c r="K447">
        <f>HYPERLINK("https://raw.githubusercontent.com/marcosmapl/dataset_imigrantes/main/noticias_filtered/g1/ambos/2021/08_set/html/g1_4989e324-2322-11ed-b24f-6dbe51e79fca_3744.html", "HTML")</f>
        <v/>
      </c>
      <c r="L447">
        <f>HYPERLINK("https://raw.githubusercontent.com/marcosmapl/dataset_imigrantes/main/noticias_filtered/g1/ambos/2021/08_set/txt/g1_4989e324-2322-11ed-b24f-6dbe51e79fca_3744.txt", "TXT")</f>
        <v/>
      </c>
    </row>
    <row r="448">
      <c r="A448" s="1" t="n">
        <v>446</v>
      </c>
      <c r="B448" t="n">
        <v>2021</v>
      </c>
      <c r="C448" s="2" t="n">
        <v>44446.61299768519</v>
      </c>
      <c r="D448" t="inlineStr">
        <is>
          <t>A CRITICA</t>
        </is>
      </c>
      <c r="E448" t="inlineStr">
        <is>
          <t>VENEZUELANOS</t>
        </is>
      </c>
      <c r="F448" t="inlineStr">
        <is>
          <t>POLICIA</t>
        </is>
      </c>
      <c r="G448" t="inlineStr">
        <is>
          <t>KAROL ROCHA</t>
        </is>
      </c>
      <c r="H448" t="inlineStr">
        <is>
          <t>HOMEM É ASSASSINADO EM ÁREA CONHECIDA COMO 'INVASÃO DOS VENEZUELANOS', NA ZONA LESTE</t>
        </is>
      </c>
      <c r="I448" t="inlineStr">
        <is>
          <t>OUTRAS DUAS PESSOAS QUE ESTAVAM COM A VÍTIMA TAMBÉM FORAM BALEADAS E ENCAMINHADAS AO HOSPITAL; NÃO HÁ SUSPEITOS PARA O CRIME</t>
        </is>
      </c>
      <c r="J448">
        <f>HYPERLINK("https://www.acritica.com/policia/homem-e-assassinado-em-area-conhecida-como-invas-o-dos-venezuelanos-na-zona-leste-1.9588", "URL")</f>
        <v/>
      </c>
      <c r="K448">
        <f>HYPERLINK("https://raw.githubusercontent.com/marcosmapl/dataset_imigrantes/main/noticias_filtered/a_critica/venezuelanos/2021/08_set/html/1.9588_2.html", "HTML")</f>
        <v/>
      </c>
      <c r="L448">
        <f>HYPERLINK("https://raw.githubusercontent.com/marcosmapl/dataset_imigrantes/main/noticias_filtered/a_critica/venezuelanos/2021/08_set/txt/1.9588_2.txt", "TXT")</f>
        <v/>
      </c>
    </row>
    <row r="449">
      <c r="A449" s="1" t="n">
        <v>447</v>
      </c>
      <c r="B449" t="n">
        <v>2021</v>
      </c>
      <c r="C449" s="2" t="n">
        <v>44444.60500673611</v>
      </c>
      <c r="D449" t="inlineStr">
        <is>
          <t>G1</t>
        </is>
      </c>
      <c r="E449" t="inlineStr">
        <is>
          <t>HAITIANOS</t>
        </is>
      </c>
      <c r="F449" t="inlineStr">
        <is>
          <t>SOROCABA E JUNDIAÍ</t>
        </is>
      </c>
      <c r="G449" t="inlineStr">
        <is>
          <t>TALISSA MEDEIROS*, G1 SOROCABA E JUNDIAÍ</t>
        </is>
      </c>
      <c r="H449" t="inlineStr">
        <is>
          <t>HAITIANA QUE MORA NO BRASIL TENTA TRAZER FILHO DE 6 ANOS AO PAÍS APÓS MORTE DOS AVÓS EM TERREMOTO NO HAITI</t>
        </is>
      </c>
      <c r="I449" t="inlineStr">
        <is>
          <t>MULHER TENTA ARRECADAR DINHEIRO PARA TRAZER CRIANÇA, QUE ERA CUIDADA PELOS AVÓS, PARA SOROCABA, NO INTERIOR DE SP; INSTITUTO AJUDA NA CAMPANHA.</t>
        </is>
      </c>
      <c r="J449">
        <f>HYPERLINK("https://g1.globo.com/sp/sorocaba-jundiai/noticia/2021/09/05/haitiana-que-mora-no-brasil-tenta-trazer-filho-ao-pais-apos-morte-dos-avos-em-terremoto-no-haiti.ghtml", "URL")</f>
        <v/>
      </c>
      <c r="K449">
        <f>HYPERLINK("https://raw.githubusercontent.com/marcosmapl/dataset_imigrantes/main/noticias_filtered/g1/haitianos/2021/08_set/html/g1_a7e81070-22ec-11ed-b24f-6dbe51e79fca_1664.html", "HTML")</f>
        <v/>
      </c>
      <c r="L449">
        <f>HYPERLINK("https://raw.githubusercontent.com/marcosmapl/dataset_imigrantes/main/noticias_filtered/g1/haitianos/2021/08_set/txt/g1_a7e81070-22ec-11ed-b24f-6dbe51e79fca_1664.txt", "TXT")</f>
        <v/>
      </c>
    </row>
    <row r="450">
      <c r="A450" s="1" t="n">
        <v>448</v>
      </c>
      <c r="B450" t="n">
        <v>2021</v>
      </c>
      <c r="C450" s="2" t="n">
        <v>44444.57328703703</v>
      </c>
      <c r="D450" t="inlineStr">
        <is>
          <t>A CRITICA</t>
        </is>
      </c>
      <c r="E450" t="inlineStr">
        <is>
          <t>VENEZUELANOS</t>
        </is>
      </c>
      <c r="F450" t="inlineStr"/>
      <c r="G450" t="inlineStr">
        <is>
          <t>AFP</t>
        </is>
      </c>
      <c r="H450" t="inlineStr">
        <is>
          <t>GOVERNO DE MADURO DIZ TER ALCANÇADO 'ACORDOS PARCIAIS' COM OPOSIÇÃO</t>
        </is>
      </c>
      <c r="I450" t="inlineStr">
        <is>
          <t>O GOVERNO E A OPOSIÇÃO DA VENEZUELA CONCLUÍRAM, NO SÁBADO, NO MÉXICO, O SEGUNDO DIA DE UMA NOVA RODADA DE NEGOCIAÇÕES</t>
        </is>
      </c>
      <c r="J450">
        <f>HYPERLINK("https://www.acritica.com/governo-de-maduro-diz-ter-alcancado-acordos-parciais-com-oposic-o-1.10973", "URL")</f>
        <v/>
      </c>
      <c r="K450">
        <f>HYPERLINK("https://raw.githubusercontent.com/marcosmapl/dataset_imigrantes/main/noticias_filtered/a_critica/venezuelanos/2021/08_set/html/1.10973_686.html", "HTML")</f>
        <v/>
      </c>
      <c r="L450">
        <f>HYPERLINK("https://raw.githubusercontent.com/marcosmapl/dataset_imigrantes/main/noticias_filtered/a_critica/venezuelanos/2021/08_set/txt/1.10973_686.txt", "TXT")</f>
        <v/>
      </c>
    </row>
    <row r="451">
      <c r="A451" s="1" t="n">
        <v>449</v>
      </c>
      <c r="B451" t="n">
        <v>2021</v>
      </c>
      <c r="C451" s="2" t="n">
        <v>44443.47222222222</v>
      </c>
      <c r="D451" t="inlineStr">
        <is>
          <t>A CRITICA</t>
        </is>
      </c>
      <c r="E451" t="inlineStr">
        <is>
          <t>VENEZUELANOS</t>
        </is>
      </c>
      <c r="F451" t="inlineStr">
        <is>
          <t>OPINIAO</t>
        </is>
      </c>
      <c r="G451" t="inlineStr">
        <is>
          <t>MARCUS LACERDA</t>
        </is>
      </c>
      <c r="H451" t="inlineStr">
        <is>
          <t>DEIXA O BICHINHO VIVER</t>
        </is>
      </c>
      <c r="I451" t="inlineStr">
        <is>
          <t>NOSSOS CORAÇÕES SE ENCHEM DE UM SANGUE NOVO. DOS ROSTOS DE MUITOS ESCORREM LÁGRIMAS, POR PODERMOS NOVAMENTE ESTAR ALI.</t>
        </is>
      </c>
      <c r="J451">
        <f>HYPERLINK("https://www.acritica.com/opiniao/deixa-o-bichinho-viver-1.215508", "URL")</f>
        <v/>
      </c>
      <c r="K451">
        <f>HYPERLINK("https://raw.githubusercontent.com/marcosmapl/dataset_imigrantes/main/noticias_filtered/a_critica/venezuelanos/2021/08_set/html/1.215508_1156.html", "HTML")</f>
        <v/>
      </c>
      <c r="L451">
        <f>HYPERLINK("https://raw.githubusercontent.com/marcosmapl/dataset_imigrantes/main/noticias_filtered/a_critica/venezuelanos/2021/08_set/txt/1.215508_1156.txt", "TXT")</f>
        <v/>
      </c>
    </row>
    <row r="452">
      <c r="A452" s="1" t="n">
        <v>450</v>
      </c>
      <c r="B452" t="n">
        <v>2021</v>
      </c>
      <c r="C452" s="2" t="n">
        <v>44443.06653613426</v>
      </c>
      <c r="D452" t="inlineStr">
        <is>
          <t>G1</t>
        </is>
      </c>
      <c r="E452" t="inlineStr">
        <is>
          <t>HAITIANOS</t>
        </is>
      </c>
      <c r="F452" t="inlineStr">
        <is>
          <t>MUNDO</t>
        </is>
      </c>
      <c r="G452" t="inlineStr">
        <is>
          <t>G1</t>
        </is>
      </c>
      <c r="H452" t="inlineStr">
        <is>
          <t>GOVERNO BRASILEIRO AUTORIZA A CONCESSÃO DE VISTO HUMANITÁRIO A AFEGÃOS</t>
        </is>
      </c>
      <c r="I452" t="inlineStr">
        <is>
          <t>MEDIDA É PARECIDA COM A QUE JÁ OCORRE COM SÍRIOS E HAITIANOS. DOCUMENTO É FEITO FORA DO BRASIL, EM CONSULADOS OU EMBAIXADAS BRASILEIRAS NO EXTERIOR – COMO A DE ISLAMABAD, NO PAQUISTÃO.</t>
        </is>
      </c>
      <c r="J452">
        <f>HYPERLINK("https://g1.globo.com/mundo/noticia/2021/09/03/governo-brasileiro-autoriza-a-concessao-de-visto-humanitario-a-afegaos.ghtml", "URL")</f>
        <v/>
      </c>
      <c r="K452">
        <f>HYPERLINK("https://raw.githubusercontent.com/marcosmapl/dataset_imigrantes/main/noticias_filtered/g1/haitianos/2021/08_set/html/g1_762f6474-22f7-11ed-b24f-6dbe51e79fca_2080.html", "HTML")</f>
        <v/>
      </c>
      <c r="L452">
        <f>HYPERLINK("https://raw.githubusercontent.com/marcosmapl/dataset_imigrantes/main/noticias_filtered/g1/haitianos/2021/08_set/txt/g1_762f6474-22f7-11ed-b24f-6dbe51e79fca_2080.txt", "TXT")</f>
        <v/>
      </c>
    </row>
    <row r="453">
      <c r="A453" s="1" t="n">
        <v>451</v>
      </c>
      <c r="B453" t="n">
        <v>2021</v>
      </c>
      <c r="C453" s="2" t="n">
        <v>44443.02296069444</v>
      </c>
      <c r="D453" t="inlineStr">
        <is>
          <t>G1</t>
        </is>
      </c>
      <c r="E453" t="inlineStr">
        <is>
          <t>HAITIANOS</t>
        </is>
      </c>
      <c r="F453" t="inlineStr">
        <is>
          <t>MUNDO</t>
        </is>
      </c>
      <c r="G453" t="inlineStr">
        <is>
          <t>EDISON VEIGA, BBC</t>
        </is>
      </c>
      <c r="H453" t="inlineStr">
        <is>
          <t>MADRE TERESA: AS VIRTUDES E CONTROVÉRSIAS DA RELIGIOSA QUE VIROU SANTA HÁ CINCO ANOS</t>
        </is>
      </c>
      <c r="I453" t="inlineStr">
        <is>
          <t>EM 1971, QUANDO FOI NOTICIADO QUE MULHERES EM BANGLADESH HAVIAM FICADO GRÁVIDAS DEPOIS DE TEREM SIDO ESTUPRADAS POR SOLDADOS PAQUISTANESES DURANTE A GUERRA DE INDEPENDÊNCIA ALI TRAVADA, A VOZ DE MADRE TERESA NÃO FOI PARA COMBATER AS ATROCIDADES PERPETRADAS PELOS MILITARES, MAS SIM PARA DEFENDER QUE AS MULHERES PROSSEGUISSEM COM SUAS GRAVIDEZES.</t>
        </is>
      </c>
      <c r="J453">
        <f>HYPERLINK("https://g1.globo.com/mundo/noticia/2021/09/03/madre-teresa-as-virtudes-e-controversias-da-religiosa-que-virou-santa-ha-cinco-anos.ghtml", "URL")</f>
        <v/>
      </c>
      <c r="K453">
        <f>HYPERLINK("https://raw.githubusercontent.com/marcosmapl/dataset_imigrantes/main/noticias_filtered/g1/haitianos/2021/08_set/html/g1_28e8c23e-231d-11ed-b24f-6dbe51e79fca_3486.html", "HTML")</f>
        <v/>
      </c>
      <c r="L453">
        <f>HYPERLINK("https://raw.githubusercontent.com/marcosmapl/dataset_imigrantes/main/noticias_filtered/g1/haitianos/2021/08_set/txt/g1_28e8c23e-231d-11ed-b24f-6dbe51e79fca_3486.txt", "TXT")</f>
        <v/>
      </c>
    </row>
    <row r="454">
      <c r="A454" s="1" t="n">
        <v>452</v>
      </c>
      <c r="B454" t="n">
        <v>2021</v>
      </c>
      <c r="C454" s="2" t="n">
        <v>44441.75467592593</v>
      </c>
      <c r="D454" t="inlineStr">
        <is>
          <t>A CRITICA</t>
        </is>
      </c>
      <c r="E454" t="inlineStr">
        <is>
          <t>VENEZUELANOS</t>
        </is>
      </c>
      <c r="F454" t="inlineStr">
        <is>
          <t>ENTRETENIMENTO</t>
        </is>
      </c>
      <c r="G454" t="inlineStr">
        <is>
          <t>PORTAL A CRÍTICA</t>
        </is>
      </c>
      <c r="H454" t="inlineStr">
        <is>
          <t>EM MANAUS, PESSOAS MIGRANTES E REFUGIADAS PROMOVEM DESFILE COM CRIAÇÕES PRÓPRIAS</t>
        </is>
      </c>
      <c r="I454" t="inlineStr">
        <is>
          <t>CURSO OFERECIDO PELO PROJETO VEN, TÚ PUEDES ENCERRA COM APRESENTAÇÃO DE ROUPAS FEITAS PELOS ESTUDANTES DURANTE A CAPACITAÇÃO</t>
        </is>
      </c>
      <c r="J454">
        <f>HYPERLINK("https://www.acritica.com/entretenimento/em-manaus-pessoas-migrantes-e-refugiadas-promovem-desfile-com-criac-es-proprias-1.11089", "URL")</f>
        <v/>
      </c>
      <c r="K454">
        <f>HYPERLINK("https://raw.githubusercontent.com/marcosmapl/dataset_imigrantes/main/noticias_filtered/a_critica/venezuelanos/2021/08_set/html/1.11089_776.html", "HTML")</f>
        <v/>
      </c>
      <c r="L454">
        <f>HYPERLINK("https://raw.githubusercontent.com/marcosmapl/dataset_imigrantes/main/noticias_filtered/a_critica/venezuelanos/2021/08_set/txt/1.11089_776.txt", "TXT")</f>
        <v/>
      </c>
    </row>
    <row r="455">
      <c r="A455" s="1" t="n">
        <v>453</v>
      </c>
      <c r="B455" t="n">
        <v>2021</v>
      </c>
      <c r="C455" s="2" t="n">
        <v>44441.74346175926</v>
      </c>
      <c r="D455" t="inlineStr">
        <is>
          <t>G1</t>
        </is>
      </c>
      <c r="E455" t="inlineStr">
        <is>
          <t>VENEZUELANOS</t>
        </is>
      </c>
      <c r="F455" t="inlineStr">
        <is>
          <t>TOCANTINS</t>
        </is>
      </c>
      <c r="G455" t="inlineStr">
        <is>
          <t>G1 TOCANTINS</t>
        </is>
      </c>
      <c r="H455" t="inlineStr">
        <is>
          <t>COM CARTAZ, VENEZUELANO PEDE EMPREGO NAS RUAS DE PALMAS: 'POR FAVOR ME AJUDEM'</t>
        </is>
      </c>
      <c r="I455" t="inlineStr">
        <is>
          <t>HERNAN JOSÉ RIVERO, DE 35 ANOS, MORA NA CAPITAL HÁ QUATRO MESES. PERTO DE SEMÁFOROS, O HOMEM EXPÕE A PLACA QUE CONTA PARTE DAS DIFICULDADES ENFRENTADAS PELA FAMÍLIA.</t>
        </is>
      </c>
      <c r="J455">
        <f>HYPERLINK("https://g1.globo.com/to/tocantins/noticia/2021/09/02/com-cartaz-venezuelano-pede-emprego-nas-ruas-de-palmas-por-favor-me-ajudem.ghtml", "URL")</f>
        <v/>
      </c>
      <c r="K455">
        <f>HYPERLINK("https://raw.githubusercontent.com/marcosmapl/dataset_imigrantes/main/noticias_filtered/g1/venezuelanos/2021/08_set/html/g1_0191648c-2315-11ed-b24f-6dbe51e79fca_3061.html", "HTML")</f>
        <v/>
      </c>
      <c r="L455">
        <f>HYPERLINK("https://raw.githubusercontent.com/marcosmapl/dataset_imigrantes/main/noticias_filtered/g1/venezuelanos/2021/08_set/txt/g1_0191648c-2315-11ed-b24f-6dbe51e79fca_3061.txt", "TXT")</f>
        <v/>
      </c>
    </row>
    <row r="456">
      <c r="A456" s="1" t="n">
        <v>454</v>
      </c>
      <c r="B456" t="n">
        <v>2021</v>
      </c>
      <c r="C456" s="2" t="n">
        <v>44440.62608412037</v>
      </c>
      <c r="D456" t="inlineStr">
        <is>
          <t>G1</t>
        </is>
      </c>
      <c r="E456" t="inlineStr">
        <is>
          <t>VENEZUELANOS</t>
        </is>
      </c>
      <c r="F456" t="inlineStr">
        <is>
          <t>TOCANTINS</t>
        </is>
      </c>
      <c r="G456" t="inlineStr">
        <is>
          <t>ELMA ROCHA E JESANA DE JESUS, TV ANHANGUERA E G1 TOCANTINS</t>
        </is>
      </c>
      <c r="H456" t="inlineStr">
        <is>
          <t>ARAGUAÍNA TEM 10 DIAS PARA PROVIDENCIAR MORADIA ADEQUADA A VENEZUELANOS REFUGIADOS</t>
        </is>
      </c>
      <c r="I456" t="inlineStr">
        <is>
          <t>PRAZO FOI ESTABELECIDO DURANTE AUDIÊNCIA NA JUSTIÇA FEDERAL. CERCA DE 100 VENEZUELANOS DA ETNIA WARAO VIVEM EM UM LOCAL IMPROVISADO E SEM ESTRUTURA.</t>
        </is>
      </c>
      <c r="J456">
        <f>HYPERLINK("https://g1.globo.com/to/tocantins/noticia/2021/09/01/araguaina-tem-10-dias-para-providenciar-moradia-adequada-a-venezuelanos-refugiados.ghtml", "URL")</f>
        <v/>
      </c>
      <c r="K456">
        <f>HYPERLINK("https://raw.githubusercontent.com/marcosmapl/dataset_imigrantes/main/noticias_filtered/g1/venezuelanos/2021/08_set/html/g1_39e5e37c-2328-11ed-b24f-6dbe51e79fca_4068.html", "HTML")</f>
        <v/>
      </c>
      <c r="L456">
        <f>HYPERLINK("https://raw.githubusercontent.com/marcosmapl/dataset_imigrantes/main/noticias_filtered/g1/venezuelanos/2021/08_set/txt/g1_39e5e37c-2328-11ed-b24f-6dbe51e79fca_4068.txt", "TXT")</f>
        <v/>
      </c>
    </row>
    <row r="457">
      <c r="A457" s="1" t="n">
        <v>455</v>
      </c>
      <c r="B457" t="n">
        <v>2021</v>
      </c>
      <c r="C457" s="2" t="n">
        <v>44440.00702569445</v>
      </c>
      <c r="D457" t="inlineStr">
        <is>
          <t>G1</t>
        </is>
      </c>
      <c r="E457" t="inlineStr">
        <is>
          <t>VENEZUELANOS</t>
        </is>
      </c>
      <c r="F457" t="inlineStr">
        <is>
          <t>MUNDO</t>
        </is>
      </c>
      <c r="G457" t="inlineStr">
        <is>
          <t>FRANCE PRESSE</t>
        </is>
      </c>
      <c r="H457" t="inlineStr">
        <is>
          <t>OPOSIÇÃO VENEZUELANA ROMPE TRÊS ANOS DE BOICOTE E ANUNCIA PARTICIPAÇÃO EM ELEIÇÕES REGIONAIS DE NOVEMBRO</t>
        </is>
      </c>
      <c r="I457" t="inlineStr">
        <is>
          <t>'SABEMOS QUE ESSAS ELEIÇÕES NÃO SERÃO NEM JUSTAS, NEM CONVENCIONAIS', DIZ COMUNICADO DIVULGADO NESTA TERÇA (31) POR PARTIDOS QUE INTEGRAM MESA DA UNIDADE DEMOCRÁTICA (MUD). OPOSIÇÃO RESSALTA, PORÉM, IMPORTÂNCIA DE 'FORTALECER A CIDADANIA E PROMOVER VERDADEIRA SOLUÇÃO PARA A GRAVE CRISE NO PAÍS'.</t>
        </is>
      </c>
      <c r="J457">
        <f>HYPERLINK("https://g1.globo.com/mundo/noticia/2021/08/31/oposicao-venezuelana-rompe-tres-anos-de-boicote-e-anuncia-participacao-em-eleicoes-regionais-de-novembro.ghtml", "URL")</f>
        <v/>
      </c>
      <c r="K457">
        <f>HYPERLINK("https://raw.githubusercontent.com/marcosmapl/dataset_imigrantes/main/noticias_filtered/g1/venezuelanos/2021/08_set/html/g1_badd5740-2318-11ed-b24f-6dbe51e79fca_3275.html", "HTML")</f>
        <v/>
      </c>
      <c r="L457">
        <f>HYPERLINK("https://raw.githubusercontent.com/marcosmapl/dataset_imigrantes/main/noticias_filtered/g1/venezuelanos/2021/08_set/txt/g1_badd5740-2318-11ed-b24f-6dbe51e79fca_3275.txt", "TXT")</f>
        <v/>
      </c>
    </row>
    <row r="458">
      <c r="A458" s="1" t="n">
        <v>456</v>
      </c>
      <c r="B458" t="n">
        <v>2021</v>
      </c>
      <c r="C458" s="2" t="n">
        <v>44439.59295592592</v>
      </c>
      <c r="D458" t="inlineStr">
        <is>
          <t>G1</t>
        </is>
      </c>
      <c r="E458" t="inlineStr">
        <is>
          <t>HAITIANOS</t>
        </is>
      </c>
      <c r="F458" t="inlineStr">
        <is>
          <t>MATO GROSSO DO SUL</t>
        </is>
      </c>
      <c r="G458" t="inlineStr">
        <is>
          <t>GRAZIELA REZENDE, G1 MS</t>
        </is>
      </c>
      <c r="H458" t="inlineStr">
        <is>
          <t>PF FAZ AÇÃO CONTRA GRUPO CRIMINOSO QUE FAZIA TRAVESSIA DE HAITIANOS EM TRILHA NA FRONTEIRA DO BRASIL COM BOLÍVIA</t>
        </is>
      </c>
      <c r="I458" t="inlineStr">
        <is>
          <t>NO DECORRER DA INVESTIGAÇÃO, QUE DUROU ALGUNS MESES, A PF APONTA QUE, A CADA DIA, CERCA DE 150 HAITIANOS PASSAVAM PELO LOCAL. AO TODO, FORAM CUMPRIDOS 1 MANDADO DE PRISÃO E MAIS 4 DE BUSCA E APREENSÃO.</t>
        </is>
      </c>
      <c r="J458">
        <f>HYPERLINK("https://g1.globo.com/ms/mato-grosso-do-sul/noticia/2021/08/31/pf-faz-acao-contra-grupo-criminoso-que-fazia-travessia-haitianos-em-trilha-na-fronteira-do-brasil-com-a-bolivia.ghtml", "URL")</f>
        <v/>
      </c>
      <c r="K458">
        <f>HYPERLINK("https://raw.githubusercontent.com/marcosmapl/dataset_imigrantes/main/noticias_filtered/g1/haitianos/2021/07_ago/html/g1_4e39e41c-22f2-11ed-b24f-6dbe51e79fca_1791.html", "HTML")</f>
        <v/>
      </c>
      <c r="L458">
        <f>HYPERLINK("https://raw.githubusercontent.com/marcosmapl/dataset_imigrantes/main/noticias_filtered/g1/haitianos/2021/07_ago/txt/g1_4e39e41c-22f2-11ed-b24f-6dbe51e79fca_1791.txt", "TXT")</f>
        <v/>
      </c>
    </row>
    <row r="459">
      <c r="A459" s="1" t="n">
        <v>457</v>
      </c>
      <c r="B459" t="n">
        <v>2021</v>
      </c>
      <c r="C459" s="2" t="n">
        <v>44437.37548324074</v>
      </c>
      <c r="D459" t="inlineStr">
        <is>
          <t>G1</t>
        </is>
      </c>
      <c r="E459" t="inlineStr">
        <is>
          <t>VENEZUELANOS</t>
        </is>
      </c>
      <c r="F459" t="inlineStr">
        <is>
          <t>RORAIMA</t>
        </is>
      </c>
      <c r="G459" t="inlineStr">
        <is>
          <t>CAÍQUE RODRIGUES, G1 RR — BOA VISTA</t>
        </is>
      </c>
      <c r="H459" t="inlineStr">
        <is>
          <t>VENEZUELANOS QUE EMIGRAM PARA O BRASIL PASSAM FOME E VIVEM NAS RUAS EM RORAIMA</t>
        </is>
      </c>
      <c r="I459" t="inlineStr">
        <is>
          <t>EM PACARAIMA, MIGRANTES VENEZUELANOS FICAM À MERCÊ DA PRÓPRIA SORTE PARA CONSEGUIR ALIMENTO, ABRIGO E HIGIENE BÁSICA. DESDE QUE HOUVE A FLEXIBILIZAÇÃO DAS FRONTEIRA PARA PESSOAS COM VULNERABILIDADE, A ENTRADA DE MIGRANTES NO MUNICÍPIO É CONSTANTE.</t>
        </is>
      </c>
      <c r="J459">
        <f>HYPERLINK("https://g1.globo.com/rr/roraima/noticia/2021/08/29/nao-temos-um-real-sequer-temos-fome-venezuelanos-que-tentam-vida-melhor-no-brasil-sofrem-para-encontrar-o-que-comer.ghtml", "URL")</f>
        <v/>
      </c>
      <c r="K459">
        <f>HYPERLINK("https://raw.githubusercontent.com/marcosmapl/dataset_imigrantes/main/noticias_filtered/g1/venezuelanos/2021/07_ago/html/g1_51b51a36-230f-11ed-b24f-6dbe51e79fca_2789.html", "HTML")</f>
        <v/>
      </c>
      <c r="L459">
        <f>HYPERLINK("https://raw.githubusercontent.com/marcosmapl/dataset_imigrantes/main/noticias_filtered/g1/venezuelanos/2021/07_ago/txt/g1_51b51a36-230f-11ed-b24f-6dbe51e79fca_2789.txt", "TXT")</f>
        <v/>
      </c>
    </row>
    <row r="460">
      <c r="A460" s="1" t="n">
        <v>458</v>
      </c>
      <c r="B460" t="n">
        <v>2021</v>
      </c>
      <c r="C460" s="2" t="n">
        <v>44436.67677258102</v>
      </c>
      <c r="D460" t="inlineStr">
        <is>
          <t>G1</t>
        </is>
      </c>
      <c r="E460" t="inlineStr">
        <is>
          <t>VENEZUELANOS</t>
        </is>
      </c>
      <c r="F460" t="inlineStr">
        <is>
          <t>RORAIMA</t>
        </is>
      </c>
      <c r="G460" t="inlineStr">
        <is>
          <t>G1 RR — BOA VISTA</t>
        </is>
      </c>
      <c r="H460" t="inlineStr">
        <is>
          <t>VENEZUELANO É ASSASSINADO COM MAIS DE 10 TIROS EM BOA VISTA</t>
        </is>
      </c>
      <c r="I460" t="inlineStr">
        <is>
          <t>VÍTIMA ERA O JOVEM TOMAS ANTONIO, DE 21 ANOS.</t>
        </is>
      </c>
      <c r="J460">
        <f>HYPERLINK("https://g1.globo.com/rr/roraima/noticia/2021/08/28/venezuelano-e-assassinado-com-mais-de-10-tiros-em-boa-vista.ghtml", "URL")</f>
        <v/>
      </c>
      <c r="K460">
        <f>HYPERLINK("https://raw.githubusercontent.com/marcosmapl/dataset_imigrantes/main/noticias_filtered/g1/venezuelanos/2021/07_ago/html/g1_0cd73e3e-2310-11ed-b24f-6dbe51e79fca_2836.html", "HTML")</f>
        <v/>
      </c>
      <c r="L460">
        <f>HYPERLINK("https://raw.githubusercontent.com/marcosmapl/dataset_imigrantes/main/noticias_filtered/g1/venezuelanos/2021/07_ago/txt/g1_0cd73e3e-2310-11ed-b24f-6dbe51e79fca_2836.txt", "TXT")</f>
        <v/>
      </c>
    </row>
    <row r="461">
      <c r="A461" s="1" t="n">
        <v>459</v>
      </c>
      <c r="B461" t="n">
        <v>2021</v>
      </c>
      <c r="C461" s="2" t="n">
        <v>44436.50900462963</v>
      </c>
      <c r="D461" t="inlineStr">
        <is>
          <t>A CRITICA</t>
        </is>
      </c>
      <c r="E461" t="inlineStr">
        <is>
          <t>VENEZUELANOS</t>
        </is>
      </c>
      <c r="F461" t="inlineStr"/>
      <c r="G461" t="inlineStr">
        <is>
          <t>PORTAL A CRÍTICA</t>
        </is>
      </c>
      <c r="H461" t="inlineStr">
        <is>
          <t>COMEÇA MARATONA QUE VAI DESENVOLVER SOLUÇÕES TECNOLÓGICAS PARA O SERVIÇO PÚBLICO</t>
        </is>
      </c>
      <c r="I461" t="inlineStr">
        <is>
          <t>O PROJETO “MANAUS VISÃO HACK 2021” PREVÊ A REALIZAÇÃO DE UM CONJUNTO DE AÇÕES, QUE POSSUEM A FINALIDADE DE PROSPECTAR SOLUÇÕES INOVADORAS E SUSTENTÁVEIS, PARA ALGUMAS ÁREAS ESTRATÉGICAS DA ADMINISTRAÇÃO PÚBLICA MUNICIPAL</t>
        </is>
      </c>
      <c r="J461">
        <f>HYPERLINK("https://www.acritica.com/comeca-maratona-que-vai-desenvolver-soluc-es-tecnologicas-para-o-servico-publico-1.11398", "URL")</f>
        <v/>
      </c>
      <c r="K461">
        <f>HYPERLINK("https://raw.githubusercontent.com/marcosmapl/dataset_imigrantes/main/noticias_filtered/a_critica/venezuelanos/2021/07_ago/html/1.11398_261.html", "HTML")</f>
        <v/>
      </c>
      <c r="L461">
        <f>HYPERLINK("https://raw.githubusercontent.com/marcosmapl/dataset_imigrantes/main/noticias_filtered/a_critica/venezuelanos/2021/07_ago/txt/1.11398_261.txt", "TXT")</f>
        <v/>
      </c>
    </row>
    <row r="462">
      <c r="A462" s="1" t="n">
        <v>460</v>
      </c>
      <c r="B462" t="n">
        <v>2021</v>
      </c>
      <c r="C462" s="2" t="n">
        <v>44435.65285958333</v>
      </c>
      <c r="D462" t="inlineStr">
        <is>
          <t>G1</t>
        </is>
      </c>
      <c r="E462" t="inlineStr">
        <is>
          <t>VENEZUELANOS</t>
        </is>
      </c>
      <c r="F462" t="inlineStr">
        <is>
          <t>RORAIMA</t>
        </is>
      </c>
      <c r="G462" t="inlineStr">
        <is>
          <t>VALÉRIA OLIVEIRA E YARA RAMALHO, G1 RR — BOA VISTA</t>
        </is>
      </c>
      <c r="H462" t="inlineStr">
        <is>
          <t>IMPULSIONADO PELA MIGRAÇÃO DE VENEZUELANOS, RORAIMA TEM MAIOR CRESCIMENTO POPULACIONAL DO PAÍS</t>
        </is>
      </c>
      <c r="I462" t="inlineStr">
        <is>
          <t>POPULAÇÃO ESTIMADA DE RORAIMA É DE 652.713 PESSOAS. CAPITAL BOA VISTA CONCENTRA 66,88% DA POPULAÇÃO TOTAL DO ESTADO (436.591 HABITANTES).</t>
        </is>
      </c>
      <c r="J462">
        <f>HYPERLINK("https://g1.globo.com/rr/roraima/noticia/2021/08/27/impulsionado-pela-migracao-de-venezuelanos-roraima-tem-maior-crescimento-populacional-do-pais.ghtml", "URL")</f>
        <v/>
      </c>
      <c r="K462">
        <f>HYPERLINK("https://raw.githubusercontent.com/marcosmapl/dataset_imigrantes/main/noticias_filtered/g1/venezuelanos/2021/07_ago/html/g1_ac04301e-2326-11ed-b24f-6dbe51e79fca_3991.html", "HTML")</f>
        <v/>
      </c>
      <c r="L462">
        <f>HYPERLINK("https://raw.githubusercontent.com/marcosmapl/dataset_imigrantes/main/noticias_filtered/g1/venezuelanos/2021/07_ago/txt/g1_ac04301e-2326-11ed-b24f-6dbe51e79fca_3991.txt", "TXT")</f>
        <v/>
      </c>
    </row>
    <row r="463">
      <c r="A463" s="1" t="n">
        <v>461</v>
      </c>
      <c r="B463" t="n">
        <v>2021</v>
      </c>
      <c r="C463" s="2" t="n">
        <v>44435.52418981482</v>
      </c>
      <c r="D463" t="inlineStr">
        <is>
          <t>A CRITICA</t>
        </is>
      </c>
      <c r="E463" t="inlineStr">
        <is>
          <t>AMBOS</t>
        </is>
      </c>
      <c r="F463" t="inlineStr"/>
      <c r="G463" t="inlineStr">
        <is>
          <t>PORTAL A CRÍTICA</t>
        </is>
      </c>
      <c r="H463" t="inlineStr">
        <is>
          <t>MINISTÉRIO DA JUSTIÇA E SEGURANÇA PÚBLICA LANÇA MAPEAMENTO SOBRE ASSISTÊNCIA EM SAÚDE MENTAL DE MIGRANTES E REFUGIADOS NO BRASIL</t>
        </is>
      </c>
      <c r="I463" t="inlineStr">
        <is>
          <t>DADOS DE 7 INSTITUIÇÕES DA REGIÃO NORTE INTEGRAM PUBLICAÇÃO INÉDITA, QUE CONTRIBUI PARA O DESENVOLVIMENTO DE AÇÕES, CAPACITAÇÕES E POLÍTICAS PÚBLICAS PARA ESSA POPULAÇÃO NO PAÍS</t>
        </is>
      </c>
      <c r="J463">
        <f>HYPERLINK("https://www.acritica.com/ministerio-da-justica-e-seguranca-publica-lanca-mapeamento-sobre-assistencia-em-saude-mental-de-migrantes-e-refugiados-no-brasil-1.9932", "URL")</f>
        <v/>
      </c>
      <c r="K463">
        <f>HYPERLINK("https://raw.githubusercontent.com/marcosmapl/dataset_imigrantes/main/noticias_filtered/a_critica/ambos/2021/07_ago/html/1.9932_1222.html", "HTML")</f>
        <v/>
      </c>
      <c r="L463">
        <f>HYPERLINK("https://raw.githubusercontent.com/marcosmapl/dataset_imigrantes/main/noticias_filtered/a_critica/ambos/2021/07_ago/txt/1.9932_1222.txt", "TXT")</f>
        <v/>
      </c>
    </row>
    <row r="464">
      <c r="A464" s="1" t="n">
        <v>462</v>
      </c>
      <c r="B464" t="n">
        <v>2021</v>
      </c>
      <c r="C464" s="2" t="n">
        <v>44435.375</v>
      </c>
      <c r="D464" t="inlineStr">
        <is>
          <t>PORTAL AMAZONIA</t>
        </is>
      </c>
      <c r="E464" t="inlineStr">
        <is>
          <t>VENEZUELANOS</t>
        </is>
      </c>
      <c r="F464" t="inlineStr">
        <is>
          <t>AMAZÔNIA</t>
        </is>
      </c>
      <c r="G464" t="inlineStr">
        <is>
          <t>REDAÇÃO - JORNALISMO@PORTALAMAZONIA.COM</t>
        </is>
      </c>
      <c r="H464" t="inlineStr">
        <is>
          <t>CONHEÇA OITO ETNIAS INDÍGENAS QUE INTEGRAM A AMAZÔNIA INTERNACIONAL</t>
        </is>
      </c>
      <c r="I464" t="inlineStr">
        <is>
          <t>RELEMBRE ALGUNS DOS PRINCIPAIS POVOS INDÍGENAS DA AMAZÔNIA INTERNACIONAL, MAS QUE NÃO SÃO TÃO CONHECIDOS PELOS BRASILEIROS</t>
        </is>
      </c>
      <c r="J464">
        <f>HYPERLINK("https://portalamazonia.com/amazonia/conheca-oito-etnias-indigenas-que-integram-a-amazonia-internacional", "URL")</f>
        <v/>
      </c>
      <c r="K464">
        <f>HYPERLINK("https://raw.githubusercontent.com/marcosmapl/dataset_imigrantes/main/noticias_filtered/portal_amazonia/venezuelanos/2021/07_ago/html/24444.80461_1537.html", "HTML")</f>
        <v/>
      </c>
      <c r="L464">
        <f>HYPERLINK("https://raw.githubusercontent.com/marcosmapl/dataset_imigrantes/main/noticias_filtered/portal_amazonia/venezuelanos/2021/07_ago/txt/24444.80461_1537.txt", "TXT")</f>
        <v/>
      </c>
    </row>
    <row r="465">
      <c r="A465" s="1" t="n">
        <v>463</v>
      </c>
      <c r="B465" t="n">
        <v>2021</v>
      </c>
      <c r="C465" s="2" t="n">
        <v>44434.50854707176</v>
      </c>
      <c r="D465" t="inlineStr">
        <is>
          <t>G1</t>
        </is>
      </c>
      <c r="E465" t="inlineStr">
        <is>
          <t>VENEZUELANOS</t>
        </is>
      </c>
      <c r="F465" t="inlineStr">
        <is>
          <t>POP &amp; ARTE</t>
        </is>
      </c>
      <c r="G465" t="inlineStr">
        <is>
          <t>G1</t>
        </is>
      </c>
      <c r="H465" t="inlineStr">
        <is>
          <t>EDGAR RAMIREZ DESABAFA APÓS PERDER TIOS, AVÓ E AGENTE PARA COVID-19: 'CORAÇÃO NÃO AGUENTA MAIS TANTA DOR'</t>
        </is>
      </c>
      <c r="I465" t="inlineStr">
        <is>
          <t>'NENHUM TEVE ACESSO A UMA VACINA NA VENEZUELA. ENQUANTO ISSO, NOS ESTADOS UNIDOS, SE DESCARTAM DEZENAS DE MILHARES DE VACINAS PORQUE UM GRANDE NÚMERO DE PESSOAS NÃO AS QUER', LAMENTOU O ATOR VENEZUELANO.</t>
        </is>
      </c>
      <c r="J465">
        <f>HYPERLINK("https://g1.globo.com/pop-arte/noticia/2021/08/26/edgar-ramirez-desabafa-apos-perder-tios-avo-e-agente-para-covid-19-coracao-nao-aguenta-mais-tanta-dor.ghtml", "URL")</f>
        <v/>
      </c>
      <c r="K465">
        <f>HYPERLINK("https://raw.githubusercontent.com/marcosmapl/dataset_imigrantes/main/noticias_filtered/g1/venezuelanos/2021/07_ago/html/g1_3db63cb0-2312-11ed-b24f-6dbe51e79fca_2957.html", "HTML")</f>
        <v/>
      </c>
      <c r="L465">
        <f>HYPERLINK("https://raw.githubusercontent.com/marcosmapl/dataset_imigrantes/main/noticias_filtered/g1/venezuelanos/2021/07_ago/txt/g1_3db63cb0-2312-11ed-b24f-6dbe51e79fca_2957.txt", "TXT")</f>
        <v/>
      </c>
    </row>
    <row r="466">
      <c r="A466" s="1" t="n">
        <v>464</v>
      </c>
      <c r="B466" t="n">
        <v>2021</v>
      </c>
      <c r="C466" s="2" t="n">
        <v>44433.66176648148</v>
      </c>
      <c r="D466" t="inlineStr">
        <is>
          <t>G1</t>
        </is>
      </c>
      <c r="E466" t="inlineStr">
        <is>
          <t>VENEZUELANOS</t>
        </is>
      </c>
      <c r="F466" t="inlineStr">
        <is>
          <t>RORAIMA</t>
        </is>
      </c>
      <c r="G466" t="inlineStr">
        <is>
          <t>G1 RR — BOA VISTA</t>
        </is>
      </c>
      <c r="H466" t="inlineStr">
        <is>
          <t>OPERAÇÃO ACOLHIDA, RESPONSÁVEL POR ATENDER VENEZUELANOS EM RR, ANUNCIA MUDANÇA NO COMANDO</t>
        </is>
      </c>
      <c r="I466" t="inlineStr">
        <is>
          <t>GENERAL SÉRGIO SCHWINGEL ASSUME FUNÇÃO NO LUGAR DO TAMBÉM GENERAL ANTÔNIO MANOEL DE BARROS. TROCA DE COMANDO OCORRE NO DIA 31 DE AGOSTO, EM BOA VISTA.</t>
        </is>
      </c>
      <c r="J466">
        <f>HYPERLINK("https://g1.globo.com/rr/roraima/noticia/2021/08/25/operacao-acolhida-responsavel-por-atender-venezuelanos-em-rr-anuncia-mudanca-no-comando.ghtml", "URL")</f>
        <v/>
      </c>
      <c r="K466">
        <f>HYPERLINK("https://raw.githubusercontent.com/marcosmapl/dataset_imigrantes/main/noticias_filtered/g1/venezuelanos/2021/07_ago/html/g1_33d11e24-2329-11ed-b24f-6dbe51e79fca_4102.html", "HTML")</f>
        <v/>
      </c>
      <c r="L466">
        <f>HYPERLINK("https://raw.githubusercontent.com/marcosmapl/dataset_imigrantes/main/noticias_filtered/g1/venezuelanos/2021/07_ago/txt/g1_33d11e24-2329-11ed-b24f-6dbe51e79fca_4102.txt", "TXT")</f>
        <v/>
      </c>
    </row>
    <row r="467">
      <c r="A467" s="1" t="n">
        <v>465</v>
      </c>
      <c r="B467" t="n">
        <v>2021</v>
      </c>
      <c r="C467" s="2" t="n">
        <v>44433.50553609954</v>
      </c>
      <c r="D467" t="inlineStr">
        <is>
          <t>G1</t>
        </is>
      </c>
      <c r="E467" t="inlineStr">
        <is>
          <t>VENEZUELANOS</t>
        </is>
      </c>
      <c r="F467" t="inlineStr">
        <is>
          <t>ZONA DA MATA</t>
        </is>
      </c>
      <c r="G467" t="inlineStr">
        <is>
          <t>MG2</t>
        </is>
      </c>
      <c r="H467" t="inlineStr">
        <is>
          <t>GRUPO DE VENEZUELANOS PEDE REFÚGIO EM BARBACENA</t>
        </is>
      </c>
      <c r="I467" t="inlineStr">
        <is>
          <t>CERCA DE 17 PESSOAS, ENTRE MULHERES E CRIANÇAS, SE MOBILIZARAM PARA PEDIR ALIMENTOS E EMPREGO COM USO DE CARTAZES NA PRAÇA DA MATRIZ DA PIEDADE NA REGIÃO CENTRAL DA CIDADE.</t>
        </is>
      </c>
      <c r="J467">
        <f>HYPERLINK("https://g1.globo.com/mg/zona-da-mata/noticia/2021/08/25/grupo-de-venezuelanos-pede-refugio-em-barbacena.ghtml", "URL")</f>
        <v/>
      </c>
      <c r="K467">
        <f>HYPERLINK("https://raw.githubusercontent.com/marcosmapl/dataset_imigrantes/main/noticias_filtered/g1/venezuelanos/2021/07_ago/html/g1_a4accb26-231e-11ed-b24f-6dbe51e79fca_3574.html", "HTML")</f>
        <v/>
      </c>
      <c r="L467">
        <f>HYPERLINK("https://raw.githubusercontent.com/marcosmapl/dataset_imigrantes/main/noticias_filtered/g1/venezuelanos/2021/07_ago/txt/g1_a4accb26-231e-11ed-b24f-6dbe51e79fca_3574.txt", "TXT")</f>
        <v/>
      </c>
    </row>
    <row r="468">
      <c r="A468" s="1" t="n">
        <v>466</v>
      </c>
      <c r="B468" t="n">
        <v>2021</v>
      </c>
      <c r="C468" s="2" t="n">
        <v>44432.65482480324</v>
      </c>
      <c r="D468" t="inlineStr">
        <is>
          <t>G1</t>
        </is>
      </c>
      <c r="E468" t="inlineStr">
        <is>
          <t>HAITIANOS</t>
        </is>
      </c>
      <c r="F468" t="inlineStr">
        <is>
          <t>MINAS GERAIS</t>
        </is>
      </c>
      <c r="G468" t="inlineStr">
        <is>
          <t>RAQUEL FREITAS, G1 MINAS — BELO HORIZONTE</t>
        </is>
      </c>
      <c r="H468" t="inlineStr">
        <is>
          <t>BOMBEIROS DE MG DIZEM QUE DEVASTAÇÃO NO HAITI SE ASSEMELHA À DE MOÇAMBIQUE HÁ 2 ANOS: 'TRABALHO SERÁ ÁRDUO'</t>
        </is>
      </c>
      <c r="I468" t="inlineStr">
        <is>
          <t>MILITARES MINEIROS INTEGRAM MISSÃO DE AJUDA HUMANITÁRIA DO GOVERNO BRASILEIRO NO PAÍS CARIBENHO. HÁ 2 ANOS, EQUIPES DO ESTADO TAMBÉM FORAM ENVIADAS À ÁFRICA APÓS PASSAGEM DE CICLONE.</t>
        </is>
      </c>
      <c r="J468">
        <f>HYPERLINK("https://g1.globo.com/mg/minas-gerais/noticia/2021/08/24/bombeiros-de-mg-dizem-que-devastacao-no-haiti-se-assemelha-a-de-mocambique-ha-2-anos-trabalho-sera-arduo.ghtml", "URL")</f>
        <v/>
      </c>
      <c r="K468">
        <f>HYPERLINK("https://raw.githubusercontent.com/marcosmapl/dataset_imigrantes/main/noticias_filtered/g1/haitianos/2021/07_ago/html/g1_2e4d0532-2318-11ed-b24f-6dbe51e79fca_3247.html", "HTML")</f>
        <v/>
      </c>
      <c r="L468">
        <f>HYPERLINK("https://raw.githubusercontent.com/marcosmapl/dataset_imigrantes/main/noticias_filtered/g1/haitianos/2021/07_ago/txt/g1_2e4d0532-2318-11ed-b24f-6dbe51e79fca_3247.txt", "TXT")</f>
        <v/>
      </c>
    </row>
    <row r="469">
      <c r="A469" s="1" t="n">
        <v>467</v>
      </c>
      <c r="B469" t="n">
        <v>2021</v>
      </c>
      <c r="C469" s="2" t="n">
        <v>44432.37152777778</v>
      </c>
      <c r="D469" t="inlineStr">
        <is>
          <t>PORTAL AMAZONIA</t>
        </is>
      </c>
      <c r="E469" t="inlineStr">
        <is>
          <t>AMBOS</t>
        </is>
      </c>
      <c r="F469" t="inlineStr">
        <is>
          <t>AMAZÔNIA,CIDADANIA,CIDADES</t>
        </is>
      </c>
      <c r="G469" t="inlineStr">
        <is>
          <t>REDAÇÃO - JORNALISMO@PORTALAMAZONIA.COM</t>
        </is>
      </c>
      <c r="H469" t="inlineStr">
        <is>
          <t>MIGRAÇÃO NA AMAZÔNIA: CONHEÇA OS PRINCIPAIS FLUXOS DE PESSOAS NA REGIÃO</t>
        </is>
      </c>
      <c r="I469" t="inlineStr">
        <is>
          <t>FAMOSA POR SUAS RIQUEZAS CULTURAIS E NATURAIS, A AMAZÔNIA SEMPRE ATRAIU A ATENÇÃO MUNDO AFORA</t>
        </is>
      </c>
      <c r="J469">
        <f>HYPERLINK("https://portalamazonia.com/amazonia/migracao-na-amazonia-conheca-os-principais-fluxos-migratorios-da-regiao", "URL")</f>
        <v/>
      </c>
      <c r="K469">
        <f>HYPERLINK("https://raw.githubusercontent.com/marcosmapl/dataset_imigrantes/main/noticias_filtered/portal_amazonia/ambos/2021/07_ago/html/32143.80325_1481.html", "HTML")</f>
        <v/>
      </c>
      <c r="L469">
        <f>HYPERLINK("https://raw.githubusercontent.com/marcosmapl/dataset_imigrantes/main/noticias_filtered/portal_amazonia/ambos/2021/07_ago/txt/32143.80325_1481.txt", "TXT")</f>
        <v/>
      </c>
    </row>
    <row r="470">
      <c r="A470" s="1" t="n">
        <v>468</v>
      </c>
      <c r="B470" t="n">
        <v>2021</v>
      </c>
      <c r="C470" s="2" t="n">
        <v>44431.92387421296</v>
      </c>
      <c r="D470" t="inlineStr">
        <is>
          <t>G1</t>
        </is>
      </c>
      <c r="E470" t="inlineStr">
        <is>
          <t>HAITIANOS</t>
        </is>
      </c>
      <c r="F470" t="inlineStr">
        <is>
          <t>MUNDO</t>
        </is>
      </c>
      <c r="G470" t="inlineStr">
        <is>
          <t>STEFANIE SCHÜLER E NICOLAS BENITA, RFI</t>
        </is>
      </c>
      <c r="H470" t="inlineStr">
        <is>
          <t>AJUDA A VILAREJOS ATINGIDOS PELO TERREMOTO NO HAITI SERÁ FEITA POR HELICÓPTERO PARA EVITAR SAQUES</t>
        </is>
      </c>
      <c r="I470" t="inlineStr">
        <is>
          <t>ENQUANTO A AJUDA INTERNACIONAL NÃO CHEGA, MUITOS VILAREJOS E MUNICÍPIOS TENTAM SE VIRAR COMO PODEM. RITMO DAS ENTREGAS SE ACELERA, MAS O ABASTECIMENTO POR VIA AÉREA NÃO ACONTECE SEM DIFICULDADES.</t>
        </is>
      </c>
      <c r="J470">
        <f>HYPERLINK("https://g1.globo.com/mundo/noticia/2021/08/23/ajuda-a-vilarejos-atingidos-pelo-terremoto-no-haiti-sera-feita-por-helicoptero-para-evitar-saques.ghtml", "URL")</f>
        <v/>
      </c>
      <c r="K470">
        <f>HYPERLINK("https://raw.githubusercontent.com/marcosmapl/dataset_imigrantes/main/noticias_filtered/g1/haitianos/2021/07_ago/html/g1_53b59a76-2324-11ed-b24f-6dbe51e79fca_3864.html", "HTML")</f>
        <v/>
      </c>
      <c r="L470">
        <f>HYPERLINK("https://raw.githubusercontent.com/marcosmapl/dataset_imigrantes/main/noticias_filtered/g1/haitianos/2021/07_ago/txt/g1_53b59a76-2324-11ed-b24f-6dbe51e79fca_3864.txt", "TXT")</f>
        <v/>
      </c>
    </row>
    <row r="471">
      <c r="A471" s="1" t="n">
        <v>469</v>
      </c>
      <c r="B471" t="n">
        <v>2021</v>
      </c>
      <c r="C471" s="2" t="n">
        <v>44431.62599758102</v>
      </c>
      <c r="D471" t="inlineStr">
        <is>
          <t>G1</t>
        </is>
      </c>
      <c r="E471" t="inlineStr">
        <is>
          <t>HAITIANOS</t>
        </is>
      </c>
      <c r="F471" t="inlineStr">
        <is>
          <t>DISTRITO FEDERAL</t>
        </is>
      </c>
      <c r="G471" t="inlineStr">
        <is>
          <t>WALDER GALVÃO, G1 DF</t>
        </is>
      </c>
      <c r="H471" t="inlineStr">
        <is>
          <t>TERREMOTO NO HAITI: BOMBEIROS DO DF ENVIADOS EM MISSÃO HUMANITÁRIA VÃO ATUAR NO RESGATE E SOCORRO ÀS VÍTIMAS</t>
        </is>
      </c>
      <c r="I471" t="inlineStr">
        <is>
          <t>MILITARES DEIXARAM CAPITAL FEDERAL NO DOMINGO (22) E DEVEM CHEGAR A PORTO PRÍNCIPE NESTA SEGUNDA-FEIRA (23). PAÍS NO CARIBE REGISTRA 2,2 MIL MORTOS APÓS TREMORES DE TERRA E CICLONE TROPICAL.</t>
        </is>
      </c>
      <c r="J471">
        <f>HYPERLINK("https://g1.globo.com/df/distrito-federal/noticia/2021/08/23/terremoto-no-haiti-bombeiros-do-df-enviados-em-missao-humanitaria-vao-atuar-no-resgate-e-socorro-as-vitimas.ghtml", "URL")</f>
        <v/>
      </c>
      <c r="K471">
        <f>HYPERLINK("https://raw.githubusercontent.com/marcosmapl/dataset_imigrantes/main/noticias_filtered/g1/haitianos/2021/07_ago/html/g1_3d464436-230e-11ed-b24f-6dbe51e79fca_2729.html", "HTML")</f>
        <v/>
      </c>
      <c r="L471">
        <f>HYPERLINK("https://raw.githubusercontent.com/marcosmapl/dataset_imigrantes/main/noticias_filtered/g1/haitianos/2021/07_ago/txt/g1_3d464436-230e-11ed-b24f-6dbe51e79fca_2729.txt", "TXT")</f>
        <v/>
      </c>
    </row>
    <row r="472">
      <c r="A472" s="1" t="n">
        <v>470</v>
      </c>
      <c r="B472" t="n">
        <v>2021</v>
      </c>
      <c r="C472" s="2" t="n">
        <v>44431.52092592593</v>
      </c>
      <c r="D472" t="inlineStr">
        <is>
          <t>A CRITICA</t>
        </is>
      </c>
      <c r="E472" t="inlineStr">
        <is>
          <t>VENEZUELANOS</t>
        </is>
      </c>
      <c r="F472" t="inlineStr"/>
      <c r="G472" t="inlineStr">
        <is>
          <t>GIOVANNA MARINHO</t>
        </is>
      </c>
      <c r="H472" t="inlineStr">
        <is>
          <t>‘MANAUS ME AJUDOU, AQUI POSSO TRABALHAR’</t>
        </is>
      </c>
      <c r="I472" t="inlineStr">
        <is>
          <t>VENEZUELANOS QUE VIVEM EM MANAUS UTILIZAM PARTE DO DINHEIRO QUE GANHAM PARA AJUDAR OU TRAZER OS PARENTES DEIXADOS NO PAÍS VIZINHO</t>
        </is>
      </c>
      <c r="J472">
        <f>HYPERLINK("https://www.acritica.com/manaus-me-ajudou-aqui-posso-trabalhar-1.11598", "URL")</f>
        <v/>
      </c>
      <c r="K472">
        <f>HYPERLINK("https://raw.githubusercontent.com/marcosmapl/dataset_imigrantes/main/noticias_filtered/a_critica/venezuelanos/2021/07_ago/html/1.11598_1207.html", "HTML")</f>
        <v/>
      </c>
      <c r="L472">
        <f>HYPERLINK("https://raw.githubusercontent.com/marcosmapl/dataset_imigrantes/main/noticias_filtered/a_critica/venezuelanos/2021/07_ago/txt/1.11598_1207.txt", "TXT")</f>
        <v/>
      </c>
    </row>
    <row r="473">
      <c r="A473" s="1" t="n">
        <v>471</v>
      </c>
      <c r="B473" t="n">
        <v>2021</v>
      </c>
      <c r="C473" s="2" t="n">
        <v>44430.90082496528</v>
      </c>
      <c r="D473" t="inlineStr">
        <is>
          <t>G1</t>
        </is>
      </c>
      <c r="E473" t="inlineStr">
        <is>
          <t>HAITIANOS</t>
        </is>
      </c>
      <c r="F473" t="inlineStr">
        <is>
          <t>POLÍTICA</t>
        </is>
      </c>
      <c r="G473" t="inlineStr">
        <is>
          <t>RONIARA CASTILHOS E MARCELA MATTOS, TV GLOBO E G1 — BRASÍLIA</t>
        </is>
      </c>
      <c r="H473" t="inlineStr">
        <is>
          <t>'QUESTÃO TÉCNICA' LEVA FAB A TROCAR AERONAVE E ATRASA VOO QUE LEVARÁ SUPRIMENTOS E REMÉDIOS AO HAITI</t>
        </is>
      </c>
      <c r="I473" t="inlineStr">
        <is>
          <t>PELA PREVISÃO INICIAL, AJUDA ÀS VÍTIMAS CHEGARIA A PORTO PRÍNCIPE NA NOITE DESTE DOMINGO. PARTIDA PARA A CAPITAL HAITIANA FOI REMARCADA PARA ESTA SEGUNDA; PAÍS ENFRENTOU TERREMOTOS E CICLONE.</t>
        </is>
      </c>
      <c r="J473">
        <f>HYPERLINK("https://g1.globo.com/politica/noticia/2021/08/22/questao-tecnica-faz-fab-trocar-aeronave-e-atrasa-voo-que-levara-suprimentos-e-remedios-ao-haiti.ghtml", "URL")</f>
        <v/>
      </c>
      <c r="K473">
        <f>HYPERLINK("https://raw.githubusercontent.com/marcosmapl/dataset_imigrantes/main/noticias_filtered/g1/haitianos/2021/07_ago/html/g1_bae0cf06-2309-11ed-b24f-6dbe51e79fca_2459.html", "HTML")</f>
        <v/>
      </c>
      <c r="L473">
        <f>HYPERLINK("https://raw.githubusercontent.com/marcosmapl/dataset_imigrantes/main/noticias_filtered/g1/haitianos/2021/07_ago/txt/g1_bae0cf06-2309-11ed-b24f-6dbe51e79fca_2459.txt", "TXT")</f>
        <v/>
      </c>
    </row>
    <row r="474">
      <c r="A474" s="1" t="n">
        <v>472</v>
      </c>
      <c r="B474" t="n">
        <v>2021</v>
      </c>
      <c r="C474" s="2" t="n">
        <v>44430.53933287037</v>
      </c>
      <c r="D474" t="inlineStr">
        <is>
          <t>G1</t>
        </is>
      </c>
      <c r="E474" t="inlineStr">
        <is>
          <t>HAITIANOS</t>
        </is>
      </c>
      <c r="F474" t="inlineStr">
        <is>
          <t>SOROCABA E JUNDIAÍ</t>
        </is>
      </c>
      <c r="G474" t="inlineStr">
        <is>
          <t>JULIA VERONEZE*, G1 SOROCABA E JUNDIAÍ</t>
        </is>
      </c>
      <c r="H474" t="inlineStr">
        <is>
          <t>JOVEM FAZ AÇÃO PARA AJUDAR AMIGO HAITIANO QUE MOROU NA SUA CASA EM INTERCÂMBIO NO BRASIL: 'NÃO QUERO DEIXAR ELE SEM COMER'</t>
        </is>
      </c>
      <c r="I474" t="inlineStr">
        <is>
          <t>ESTUDANTE NICOLE BERNARDI FAZ VAQUINHA PARA AMIGO HAITIANO DEPOIS QUE ELE RELATOU QUE ESTAVA PASSANDO FOME EM PORTO PRÍNCIPE, CAPITAL DO HAITI, JUNTO COM OUTRAS SETE PESSOAS DA FAMÍLIA. HAITIANO FEZ INTERCÂMBIO NO BRASIL EM 2017 E MOROU NA CASA DE NICOLE, NO INTERIOR PAULISTA.</t>
        </is>
      </c>
      <c r="J474">
        <f>HYPERLINK("https://g1.globo.com/sp/sorocaba-jundiai/noticia/2021/08/22/jovem-faz-acao-para-ajudar-amigo-haitiano-que-morou-na-sua-casa-em-intercambio-no-brasil-nao-quero-deixar-ele-sem-comer.ghtml", "URL")</f>
        <v/>
      </c>
      <c r="K474">
        <f>HYPERLINK("https://raw.githubusercontent.com/marcosmapl/dataset_imigrantes/main/noticias_filtered/g1/haitianos/2021/07_ago/html/g1_721b4862-22b1-11ed-b24f-6dbe51e79fca_1633.html", "HTML")</f>
        <v/>
      </c>
      <c r="L474">
        <f>HYPERLINK("https://raw.githubusercontent.com/marcosmapl/dataset_imigrantes/main/noticias_filtered/g1/haitianos/2021/07_ago/txt/g1_721b4862-22b1-11ed-b24f-6dbe51e79fca_1633.txt", "TXT")</f>
        <v/>
      </c>
    </row>
    <row r="475">
      <c r="A475" s="1" t="n">
        <v>473</v>
      </c>
      <c r="B475" t="n">
        <v>2021</v>
      </c>
      <c r="C475" s="2" t="n">
        <v>44430.51793981482</v>
      </c>
      <c r="D475" t="inlineStr">
        <is>
          <t>A CRITICA</t>
        </is>
      </c>
      <c r="E475" t="inlineStr">
        <is>
          <t>HAITIANOS</t>
        </is>
      </c>
      <c r="F475" t="inlineStr"/>
      <c r="G475" t="inlineStr">
        <is>
          <t>PORTAL A CRÍTICA</t>
        </is>
      </c>
      <c r="H475" t="inlineStr">
        <is>
          <t>BRASIL ENVIA AJUDA HUMANITÁRIA AO HAITI</t>
        </is>
      </c>
      <c r="I475" t="inlineStr">
        <is>
          <t>AVIÃO DA FORÇA AÉREA LEVA MAIS DE 10 TONELADAS DE INSUMOS</t>
        </is>
      </c>
      <c r="J475">
        <f>HYPERLINK("https://www.acritica.com/brasil-envia-ajuda-humanitaria-ao-haiti-1.11557", "URL")</f>
        <v/>
      </c>
      <c r="K475">
        <f>HYPERLINK("https://raw.githubusercontent.com/marcosmapl/dataset_imigrantes/main/noticias_filtered/a_critica/haitianos/2021/07_ago/html/1.11557_457.html", "HTML")</f>
        <v/>
      </c>
      <c r="L475">
        <f>HYPERLINK("https://raw.githubusercontent.com/marcosmapl/dataset_imigrantes/main/noticias_filtered/a_critica/haitianos/2021/07_ago/txt/1.11557_457.txt", "TXT")</f>
        <v/>
      </c>
    </row>
    <row r="476">
      <c r="A476" s="1" t="n">
        <v>474</v>
      </c>
      <c r="B476" t="n">
        <v>2021</v>
      </c>
      <c r="C476" s="2" t="n">
        <v>44430.4171334375</v>
      </c>
      <c r="D476" t="inlineStr">
        <is>
          <t>G1</t>
        </is>
      </c>
      <c r="E476" t="inlineStr">
        <is>
          <t>VENEZUELANOS</t>
        </is>
      </c>
      <c r="F476" t="inlineStr">
        <is>
          <t>RORAIMA</t>
        </is>
      </c>
      <c r="G476" t="inlineStr">
        <is>
          <t>G1 RR — BOA VISTA</t>
        </is>
      </c>
      <c r="H476" t="inlineStr">
        <is>
          <t>UFRR ABRE INSCRIÇÕES PARA PALESTRA SOBRE SABERES GUIANENSES E VENEZUELANOS</t>
        </is>
      </c>
      <c r="I476" t="inlineStr">
        <is>
          <t>EVENTO É GRATUITO E ABERTO A TODOS OS INTERESSADOS. INSCRIÇÕES DEVEM SER FEITAS ONLINE, ATÉ O DIA 27 DE AGOSTO.</t>
        </is>
      </c>
      <c r="J476">
        <f>HYPERLINK("https://g1.globo.com/rr/roraima/noticia/2021/08/22/ufrr-abre-inscricoes-para-palestra-sobre-saberes-guianenses-e-venezuelanos.ghtml", "URL")</f>
        <v/>
      </c>
      <c r="K476">
        <f>HYPERLINK("https://raw.githubusercontent.com/marcosmapl/dataset_imigrantes/main/noticias_filtered/g1/venezuelanos/2021/07_ago/html/g1_ec531610-2323-11ed-b24f-6dbe51e79fca_3836.html", "HTML")</f>
        <v/>
      </c>
      <c r="L476">
        <f>HYPERLINK("https://raw.githubusercontent.com/marcosmapl/dataset_imigrantes/main/noticias_filtered/g1/venezuelanos/2021/07_ago/txt/g1_ec531610-2323-11ed-b24f-6dbe51e79fca_3836.txt", "TXT")</f>
        <v/>
      </c>
    </row>
    <row r="477">
      <c r="A477" s="1" t="n">
        <v>475</v>
      </c>
      <c r="B477" t="n">
        <v>2021</v>
      </c>
      <c r="C477" s="2" t="n">
        <v>44429.5138371875</v>
      </c>
      <c r="D477" t="inlineStr">
        <is>
          <t>G1</t>
        </is>
      </c>
      <c r="E477" t="inlineStr">
        <is>
          <t>HAITIANOS</t>
        </is>
      </c>
      <c r="F477" t="inlineStr">
        <is>
          <t>MUNDO</t>
        </is>
      </c>
      <c r="G477" t="inlineStr">
        <is>
          <t>FRANCE PRESSE</t>
        </is>
      </c>
      <c r="H477" t="inlineStr">
        <is>
          <t>PREMIÊ DO HAITI PROMETE REALIZAR ELEIÇÕES 'O QUANTO ANTES'</t>
        </is>
      </c>
      <c r="I477" t="inlineStr">
        <is>
          <t>ARIEL HENRY ASSUMIU O CARGO DEPOIS DO ASSASSINATO DO PRESIDENTE JOVENEL MOISE, EM JULHO. SEGUNDO ELE, O PROCESSO ELEITORAL EM CURSO FOI INTERROMPIDO PELO TERRAMOTO QUE ATINGIU O PAÍS E DEIXOU MAIS DE 2 MIL MORTOS.</t>
        </is>
      </c>
      <c r="J477">
        <f>HYPERLINK("https://g1.globo.com/mundo/noticia/2021/08/21/premie-do-haiti-promete-realizar-eleicoes-o-quanto-antes.ghtml", "URL")</f>
        <v/>
      </c>
      <c r="K477">
        <f>HYPERLINK("https://raw.githubusercontent.com/marcosmapl/dataset_imigrantes/main/noticias_filtered/g1/haitianos/2021/07_ago/html/g1_0884f168-22ee-11ed-b24f-6dbe51e79fca_1696.html", "HTML")</f>
        <v/>
      </c>
      <c r="L477">
        <f>HYPERLINK("https://raw.githubusercontent.com/marcosmapl/dataset_imigrantes/main/noticias_filtered/g1/haitianos/2021/07_ago/txt/g1_0884f168-22ee-11ed-b24f-6dbe51e79fca_1696.txt", "TXT")</f>
        <v/>
      </c>
    </row>
    <row r="478">
      <c r="A478" s="1" t="n">
        <v>476</v>
      </c>
      <c r="B478" t="n">
        <v>2021</v>
      </c>
      <c r="C478" s="2" t="n">
        <v>44429.35457414352</v>
      </c>
      <c r="D478" t="inlineStr">
        <is>
          <t>G1</t>
        </is>
      </c>
      <c r="E478" t="inlineStr">
        <is>
          <t>HAITIANOS</t>
        </is>
      </c>
      <c r="F478" t="inlineStr">
        <is>
          <t>PODCASTS</t>
        </is>
      </c>
      <c r="G478" t="inlineStr">
        <is>
          <t>G1</t>
        </is>
      </c>
      <c r="H478" t="inlineStr">
        <is>
          <t>O ASSUNTO #517 A #521: COLIGAÇÕES, AFEGANISTÃO E O TALIBÃ, HAITI, O BRASIL COM FOME DE NOVO, E IDOSOS E A 3ª DOSE</t>
        </is>
      </c>
      <c r="I478" t="inlineStr">
        <is>
          <t>O ASSUNTO É O PODCAST DIÁRIO COM RENATA LO PRETE. PERDEU ALGUM NESTA SEMANA? APROVEITE O FIM DE SEMANA PARA MARATONAR. NESTA SEMANA TAMBÉM NA APRESENTAÇÃO: NATUZA NERY.</t>
        </is>
      </c>
      <c r="J478">
        <f>HYPERLINK("https://g1.globo.com/podcast/o-assunto/noticia/2021/08/21/o-assunto-517-a-521-coligacoes-afeganistao-e-o-taliba-haiti-o-brasil-com-fome-de-novo-e-idosos-e-a-3a-dose.ghtml", "URL")</f>
        <v/>
      </c>
      <c r="K478">
        <f>HYPERLINK("https://raw.githubusercontent.com/marcosmapl/dataset_imigrantes/main/noticias_filtered/g1/haitianos/2021/07_ago/html/g1_dfdbc102-230f-11ed-b24f-6dbe51e79fca_2824.html", "HTML")</f>
        <v/>
      </c>
      <c r="L478">
        <f>HYPERLINK("https://raw.githubusercontent.com/marcosmapl/dataset_imigrantes/main/noticias_filtered/g1/haitianos/2021/07_ago/txt/g1_dfdbc102-230f-11ed-b24f-6dbe51e79fca_2824.txt", "TXT")</f>
        <v/>
      </c>
    </row>
    <row r="479">
      <c r="A479" s="1" t="n">
        <v>477</v>
      </c>
      <c r="B479" t="n">
        <v>2021</v>
      </c>
      <c r="C479" s="2" t="n">
        <v>44428.78780668981</v>
      </c>
      <c r="D479" t="inlineStr">
        <is>
          <t>G1</t>
        </is>
      </c>
      <c r="E479" t="inlineStr">
        <is>
          <t>HAITIANOS</t>
        </is>
      </c>
      <c r="F479" t="inlineStr">
        <is>
          <t>MATO GROSSO</t>
        </is>
      </c>
      <c r="G479" t="inlineStr">
        <is>
          <t>CAROLINE MESQUITA, G1 MT</t>
        </is>
      </c>
      <c r="H479" t="inlineStr">
        <is>
          <t>CAMPANHA ARRECADA DOAÇÕES EM MT PARA RECONSTRUIR CASAS DESTRUÍDAS DURANTE TERREMOTO NO HAITI</t>
        </is>
      </c>
      <c r="I479" t="inlineStr">
        <is>
          <t>TODO O DINHEIRO ARRECADADO SERÁ ENVIADO PARA O PROJETO VILLAGE MARIE, QUE CONSTRÓI CASAS QUE FORAM DESTRUÍDAS POR ALGUM DESASTRE NATURAL.</t>
        </is>
      </c>
      <c r="J479">
        <f>HYPERLINK("https://g1.globo.com/mt/mato-grosso/noticia/2021/08/20/campanha-arrecada-doacoes-em-mt-para-reconstruir-casas-destruidas-durante-terremoto-no-haiti.ghtml", "URL")</f>
        <v/>
      </c>
      <c r="K479">
        <f>HYPERLINK("https://raw.githubusercontent.com/marcosmapl/dataset_imigrantes/main/noticias_filtered/g1/haitianos/2021/07_ago/html/g1_60429d2a-231a-11ed-b24f-6dbe51e79fca_3332.html", "HTML")</f>
        <v/>
      </c>
      <c r="L479">
        <f>HYPERLINK("https://raw.githubusercontent.com/marcosmapl/dataset_imigrantes/main/noticias_filtered/g1/haitianos/2021/07_ago/txt/g1_60429d2a-231a-11ed-b24f-6dbe51e79fca_3332.txt", "TXT")</f>
        <v/>
      </c>
    </row>
    <row r="480">
      <c r="A480" s="1" t="n">
        <v>478</v>
      </c>
      <c r="B480" t="n">
        <v>2021</v>
      </c>
      <c r="C480" s="2" t="n">
        <v>44428.41714921296</v>
      </c>
      <c r="D480" t="inlineStr">
        <is>
          <t>G1</t>
        </is>
      </c>
      <c r="E480" t="inlineStr">
        <is>
          <t>VENEZUELANOS</t>
        </is>
      </c>
      <c r="F480" t="inlineStr">
        <is>
          <t>RORAIMA</t>
        </is>
      </c>
      <c r="G480" t="inlineStr">
        <is>
          <t>CAÍQUE RODRIGUES, G1 RR — BOA VISTA</t>
        </is>
      </c>
      <c r="H480" t="inlineStr">
        <is>
          <t>DRAG QUEEN VENEZUELANA FAZ PERFORMANCES EM BOA VISTA COM INFLUÊNCIAS LATINAS: 'MUITO LEGAL VER ACEITAÇÃO À ARTE'</t>
        </is>
      </c>
      <c r="I480" t="inlineStr">
        <is>
          <t>MELANNY D'LEON, ATUAL MISS DRAG RORAIMA, É UMA CRIAÇÃO DO JOVEM GILBER CEDENO, DE 22 ANOS, QUE ESCOLHEU O ESTADO PARA FAZER APRESENTAÇÕES.</t>
        </is>
      </c>
      <c r="J480">
        <f>HYPERLINK("https://g1.globo.com/rr/roraima/noticia/2021/08/20/drag-queen-venezuelana-faz-performances-em-boa-vista-com-influencias-latinas-muito-legal-ver-aceitacao-a-arte.ghtml", "URL")</f>
        <v/>
      </c>
      <c r="K480">
        <f>HYPERLINK("https://raw.githubusercontent.com/marcosmapl/dataset_imigrantes/main/noticias_filtered/g1/venezuelanos/2021/07_ago/html/g1_7512d62e-2311-11ed-b24f-6dbe51e79fca_2915.html", "HTML")</f>
        <v/>
      </c>
      <c r="L480">
        <f>HYPERLINK("https://raw.githubusercontent.com/marcosmapl/dataset_imigrantes/main/noticias_filtered/g1/venezuelanos/2021/07_ago/txt/g1_7512d62e-2311-11ed-b24f-6dbe51e79fca_2915.txt", "TXT")</f>
        <v/>
      </c>
    </row>
    <row r="481">
      <c r="A481" s="1" t="n">
        <v>479</v>
      </c>
      <c r="B481" t="n">
        <v>2021</v>
      </c>
      <c r="C481" s="2" t="n">
        <v>44427.78187755787</v>
      </c>
      <c r="D481" t="inlineStr">
        <is>
          <t>G1</t>
        </is>
      </c>
      <c r="E481" t="inlineStr">
        <is>
          <t>HAITIANOS</t>
        </is>
      </c>
      <c r="F481" t="inlineStr">
        <is>
          <t>SÃO PAULO</t>
        </is>
      </c>
      <c r="G481" t="inlineStr">
        <is>
          <t>PAULA LAGO, G1 SP — SÃO PAULO</t>
        </is>
      </c>
      <c r="H481" t="inlineStr">
        <is>
          <t>ITAMARATY AVALIA CONCEDER VISTO HUMANITÁRIO E FACILITAR ENTRADA E PERMANÊNCIA DE AFEGÃOS NO BRASIL</t>
        </is>
      </c>
      <c r="I481" t="inlineStr">
        <is>
          <t>MEDIDA SERIA PARECIDA AO QUE JÁ OCORRE COM SÍRIOS E HAITIANOS. EMPREENDEDOR QUE ESCOLHEU MORAR EM SÃO PAULO CONTA A DIFICULDADE PARA OBTER VISTO PARA A FAMÍLIA SAIR DO AFEGANISTÃO. DESDE QUE O TALIBÃ ASSUMIU CABUL, ELE DIZ QUE NÃO SAI DE CASA E QUE NINGUÉM SE SENTE SEGURO.</t>
        </is>
      </c>
      <c r="J481">
        <f>HYPERLINK("https://g1.globo.com/sp/sao-paulo/noticia/2021/08/19/itamaraty-avalia-conceder-visto-humanitario-e-facilitar-entrada-e-permanencia-de-afegaos-no-brasil.ghtml", "URL")</f>
        <v/>
      </c>
      <c r="K481">
        <f>HYPERLINK("https://raw.githubusercontent.com/marcosmapl/dataset_imigrantes/main/noticias_filtered/g1/haitianos/2021/07_ago/html/g1_e4b446c6-22f7-11ed-b24f-6dbe51e79fca_2102.html", "HTML")</f>
        <v/>
      </c>
      <c r="L481">
        <f>HYPERLINK("https://raw.githubusercontent.com/marcosmapl/dataset_imigrantes/main/noticias_filtered/g1/haitianos/2021/07_ago/txt/g1_e4b446c6-22f7-11ed-b24f-6dbe51e79fca_2102.txt", "TXT")</f>
        <v/>
      </c>
    </row>
    <row r="482">
      <c r="A482" s="1" t="n">
        <v>480</v>
      </c>
      <c r="B482" t="n">
        <v>2021</v>
      </c>
      <c r="C482" s="2" t="n">
        <v>44426.78414349537</v>
      </c>
      <c r="D482" t="inlineStr">
        <is>
          <t>G1</t>
        </is>
      </c>
      <c r="E482" t="inlineStr">
        <is>
          <t>HAITIANOS</t>
        </is>
      </c>
      <c r="F482" t="inlineStr">
        <is>
          <t>SANTA CATARINA</t>
        </is>
      </c>
      <c r="G482" t="inlineStr">
        <is>
          <t>CAROLINE BORGES, G1 SC</t>
        </is>
      </c>
      <c r="H482" t="inlineStr">
        <is>
          <t>APÓS PERDER PARENTES EM TERREMOTO, HAITIANA QUE MORA EM SC FALA SOBRE PREOCUPAÇÃO COM DESABRIGADOS: 'MUITAS PESSOAS ESTÃO NA RUA'</t>
        </is>
      </c>
      <c r="I482" t="inlineStr">
        <is>
          <t>MORADORA DE FLORIANÓPOLIS HÁ 6 ANOS, ARIANIDE JEAN BAPTISTE PERDEU DOIS FAMILIARES.</t>
        </is>
      </c>
      <c r="J482">
        <f>HYPERLINK("https://g1.globo.com/sc/santa-catarina/noticia/2021/08/18/apos-perder-parentes-em-terremoto-haitiana-que-mora-em-sc-fala-sobre-preocupacao-com-desabrigados-muitas-pessoas-estao-na-rua.ghtml", "URL")</f>
        <v/>
      </c>
      <c r="K482">
        <f>HYPERLINK("https://raw.githubusercontent.com/marcosmapl/dataset_imigrantes/main/noticias_filtered/g1/haitianos/2021/07_ago/html/g1_27352fba-232a-11ed-b24f-6dbe51e79fca_4160.html", "HTML")</f>
        <v/>
      </c>
      <c r="L482">
        <f>HYPERLINK("https://raw.githubusercontent.com/marcosmapl/dataset_imigrantes/main/noticias_filtered/g1/haitianos/2021/07_ago/txt/g1_27352fba-232a-11ed-b24f-6dbe51e79fca_4160.txt", "TXT")</f>
        <v/>
      </c>
    </row>
    <row r="483">
      <c r="A483" s="1" t="n">
        <v>481</v>
      </c>
      <c r="B483" t="n">
        <v>2021</v>
      </c>
      <c r="C483" s="2" t="n">
        <v>44426.18735582176</v>
      </c>
      <c r="D483" t="inlineStr">
        <is>
          <t>G1</t>
        </is>
      </c>
      <c r="E483" t="inlineStr">
        <is>
          <t>HAITIANOS</t>
        </is>
      </c>
      <c r="F483" t="inlineStr">
        <is>
          <t>PODCASTS</t>
        </is>
      </c>
      <c r="G483" t="inlineStr">
        <is>
          <t>RENATA LO PRETE</t>
        </is>
      </c>
      <c r="H483" t="inlineStr">
        <is>
          <t>O ASSUNTO #519: HAITI - UM PAÍS DESOLADO</t>
        </is>
      </c>
      <c r="I483" t="inlineStr">
        <is>
          <t>DESDE O GRANDE TERREMOTO DE 2010, O HAITI NUNCA SE RECUPEROU. E, AGORA, PRECISA SUPERAR ALÉM MAIS TRAGÉDIAS CLIMÁTICAS - UM NOVO TREMOR SEGUIDO DE UM CICLONE ,- A TURBULÊNCIA POLÍTICA DEFLAGRADA COM O ASSASSINATO DO PRESIDENTE JOVENEL MOISE E O COMBATE À PANDEMIA SEM VACINAS.</t>
        </is>
      </c>
      <c r="J483">
        <f>HYPERLINK("https://g1.globo.com/podcast/o-assunto/noticia/2021/08/18/o-assunto-519-haiti-um-pais-desolado.ghtml", "URL")</f>
        <v/>
      </c>
      <c r="K483">
        <f>HYPERLINK("https://raw.githubusercontent.com/marcosmapl/dataset_imigrantes/main/noticias_filtered/g1/haitianos/2021/07_ago/html/g1_efae001c-230b-11ed-b24f-6dbe51e79fca_2597.html", "HTML")</f>
        <v/>
      </c>
      <c r="L483">
        <f>HYPERLINK("https://raw.githubusercontent.com/marcosmapl/dataset_imigrantes/main/noticias_filtered/g1/haitianos/2021/07_ago/txt/g1_efae001c-230b-11ed-b24f-6dbe51e79fca_2597.txt", "TXT")</f>
        <v/>
      </c>
    </row>
    <row r="484">
      <c r="A484" s="1" t="n">
        <v>482</v>
      </c>
      <c r="B484" t="n">
        <v>2021</v>
      </c>
      <c r="C484" s="2" t="n">
        <v>44426.16707402778</v>
      </c>
      <c r="D484" t="inlineStr">
        <is>
          <t>G1</t>
        </is>
      </c>
      <c r="E484" t="inlineStr">
        <is>
          <t>HAITIANOS</t>
        </is>
      </c>
      <c r="F484" t="inlineStr">
        <is>
          <t>AGENDA DO DIA</t>
        </is>
      </c>
      <c r="G484" t="inlineStr">
        <is>
          <t>G1</t>
        </is>
      </c>
      <c r="H484" t="inlineStr">
        <is>
          <t>QUARTA-FEIRA, 18 DE AGOSTO</t>
        </is>
      </c>
      <c r="I484" t="inlineStr">
        <is>
          <t>VEJA O QUE VOCÊ PRECISA SABER PARA COMEÇAR O DIA BEM-INFORMADO.</t>
        </is>
      </c>
      <c r="J484">
        <f>HYPERLINK("https://g1.globo.com/agenda-do-dia/noticia/2021/08/18/quarta-feira-18-de-agosto.ghtml", "URL")</f>
        <v/>
      </c>
      <c r="K484">
        <f>HYPERLINK("https://raw.githubusercontent.com/marcosmapl/dataset_imigrantes/main/noticias_filtered/g1/haitianos/2021/07_ago/html/g1_51f5ff40-232a-11ed-b24f-6dbe51e79fca_4171.html", "HTML")</f>
        <v/>
      </c>
      <c r="L484">
        <f>HYPERLINK("https://raw.githubusercontent.com/marcosmapl/dataset_imigrantes/main/noticias_filtered/g1/haitianos/2021/07_ago/txt/g1_51f5ff40-232a-11ed-b24f-6dbe51e79fca_4171.txt", "TXT")</f>
        <v/>
      </c>
    </row>
    <row r="485">
      <c r="A485" s="1" t="n">
        <v>483</v>
      </c>
      <c r="B485" t="n">
        <v>2021</v>
      </c>
      <c r="C485" s="2" t="n">
        <v>44425.81644047454</v>
      </c>
      <c r="D485" t="inlineStr">
        <is>
          <t>G1</t>
        </is>
      </c>
      <c r="E485" t="inlineStr">
        <is>
          <t>HAITIANOS</t>
        </is>
      </c>
      <c r="F485" t="inlineStr">
        <is>
          <t>SOROCABA E JUNDIAÍ</t>
        </is>
      </c>
      <c r="G485" t="inlineStr">
        <is>
          <t>GABRIELA ALMEIDA*, G1 SOROCABA E JUNDIAÍ</t>
        </is>
      </c>
      <c r="H485" t="inlineStr">
        <is>
          <t>APÓS CICLONE TROPICAL, HAITIANA NO BRASIL RECEBE VÍDEO QUE MOSTRA CASA DA FAMÍLIA ALAGADA E COM RACHADURAS</t>
        </is>
      </c>
      <c r="I485" t="inlineStr">
        <is>
          <t>APESAR DO SUSTO, FAMÍLIA DE FRANCELINE LORGEANT NÃO SOFREU FERIMENTOS. CICLONE TROPICAL ATINGIU O HAITI NA NOITE DE SEGUNDA-FEIRA (16) E DIFICULTOU BUSCA POR SOBREVIVENTES DE TERREMOTO DEVASTADOR.</t>
        </is>
      </c>
      <c r="J485">
        <f>HYPERLINK("https://g1.globo.com/sp/sorocaba-jundiai/noticia/2021/08/17/apos-ciclone-tropical-haitiana-no-brasil-recebe-video-que-mostra-casa-da-familia-alagada-e-com-rachaduras.ghtml", "URL")</f>
        <v/>
      </c>
      <c r="K485">
        <f>HYPERLINK("https://raw.githubusercontent.com/marcosmapl/dataset_imigrantes/main/noticias_filtered/g1/haitianos/2021/07_ago/html/g1_2eb23476-2326-11ed-b24f-6dbe51e79fca_3960.html", "HTML")</f>
        <v/>
      </c>
      <c r="L485">
        <f>HYPERLINK("https://raw.githubusercontent.com/marcosmapl/dataset_imigrantes/main/noticias_filtered/g1/haitianos/2021/07_ago/txt/g1_2eb23476-2326-11ed-b24f-6dbe51e79fca_3960.txt", "TXT")</f>
        <v/>
      </c>
    </row>
    <row r="486">
      <c r="A486" s="1" t="n">
        <v>484</v>
      </c>
      <c r="B486" t="n">
        <v>2021</v>
      </c>
      <c r="C486" s="2" t="n">
        <v>44425.73801803241</v>
      </c>
      <c r="D486" t="inlineStr">
        <is>
          <t>G1</t>
        </is>
      </c>
      <c r="E486" t="inlineStr">
        <is>
          <t>HAITIANOS</t>
        </is>
      </c>
      <c r="F486" t="inlineStr">
        <is>
          <t>MUNDO</t>
        </is>
      </c>
      <c r="G486" t="inlineStr">
        <is>
          <t>RFI</t>
        </is>
      </c>
      <c r="H486" t="inlineStr">
        <is>
          <t>TERREMOTO NO HAITI: PESSOAS DORMEM NA RUA COM MEDO DE MAIS DESABAMENTOS</t>
        </is>
      </c>
      <c r="I486" t="inlineStr">
        <is>
          <t>EM ALGUMAS CIDADES, PRATICAMENTE TODAS AS CONSTRUÇÕES FORAM DESTRUÍDAS PELO TREMOR DE MAGNITUDE 7,2 – E AS QUE RESTARAM APRESENTAM RISCO DE IREM AO CHÃO A QUALQUER MOMENTO.</t>
        </is>
      </c>
      <c r="J486">
        <f>HYPERLINK("https://g1.globo.com/mundo/noticia/2021/08/17/terremoto-no-haiti-pessoas-dormem-na-rua-com-medo-de-mais-desabamentos.ghtml", "URL")</f>
        <v/>
      </c>
      <c r="K486">
        <f>HYPERLINK("https://raw.githubusercontent.com/marcosmapl/dataset_imigrantes/main/noticias_filtered/g1/haitianos/2021/07_ago/html/g1_6cfea9d0-230d-11ed-b24f-6dbe51e79fca_2686.html", "HTML")</f>
        <v/>
      </c>
      <c r="L486">
        <f>HYPERLINK("https://raw.githubusercontent.com/marcosmapl/dataset_imigrantes/main/noticias_filtered/g1/haitianos/2021/07_ago/txt/g1_6cfea9d0-230d-11ed-b24f-6dbe51e79fca_2686.txt", "TXT")</f>
        <v/>
      </c>
    </row>
    <row r="487">
      <c r="A487" s="1" t="n">
        <v>485</v>
      </c>
      <c r="B487" t="n">
        <v>2021</v>
      </c>
      <c r="C487" s="2" t="n">
        <v>44425.71461133102</v>
      </c>
      <c r="D487" t="inlineStr">
        <is>
          <t>G1</t>
        </is>
      </c>
      <c r="E487" t="inlineStr">
        <is>
          <t>HAITIANOS</t>
        </is>
      </c>
      <c r="F487" t="inlineStr">
        <is>
          <t>CAMPINAS E REGIÃO</t>
        </is>
      </c>
      <c r="G487" t="inlineStr">
        <is>
          <t>EPTV 1</t>
        </is>
      </c>
      <c r="H487" t="inlineStr">
        <is>
          <t>HAITIANOS DE CAMPINAS RELATAM MEDO E APREENSÃO COM FAMILIARES APÓS TERREMOTO E CICLONE: 'ESCAPOU POR POUCO'</t>
        </is>
      </c>
      <c r="I487" t="inlineStr">
        <is>
          <t>SEGUNDO A PREFEITURA, 1.483 HAITIANOS MORAM NA CIDADE ATUALMENTE. O HAITI FOI ATINGIDO POR TERREMOTOS QUE DEIXARAM AO MENOS 1,4 MIL MORTOS NO FIM DE SEMANA E TAMBÉM FOI ATINGIDO POR UM CICLONE NESTA SEGUNDA (16).</t>
        </is>
      </c>
      <c r="J487">
        <f>HYPERLINK("https://g1.globo.com/sp/campinas-regiao/noticia/2021/08/17/haitianos-de-campinas-relatam-medo-e-apreensao-com-familiares-apos-terremoto-e-ciclone-escapou-por-pouco.ghtml", "URL")</f>
        <v/>
      </c>
      <c r="K487">
        <f>HYPERLINK("https://raw.githubusercontent.com/marcosmapl/dataset_imigrantes/main/noticias_filtered/g1/haitianos/2021/07_ago/html/g1_d7b52c56-22f2-11ed-b24f-6dbe51e79fca_1815.html", "HTML")</f>
        <v/>
      </c>
      <c r="L487">
        <f>HYPERLINK("https://raw.githubusercontent.com/marcosmapl/dataset_imigrantes/main/noticias_filtered/g1/haitianos/2021/07_ago/txt/g1_d7b52c56-22f2-11ed-b24f-6dbe51e79fca_1815.txt", "TXT")</f>
        <v/>
      </c>
    </row>
    <row r="488">
      <c r="A488" s="1" t="n">
        <v>486</v>
      </c>
      <c r="B488" t="n">
        <v>2021</v>
      </c>
      <c r="C488" s="2" t="n">
        <v>44425.66885541667</v>
      </c>
      <c r="D488" t="inlineStr">
        <is>
          <t>G1</t>
        </is>
      </c>
      <c r="E488" t="inlineStr">
        <is>
          <t>HAITIANOS</t>
        </is>
      </c>
      <c r="F488" t="inlineStr">
        <is>
          <t>SÃO JOSÉ DO RIO PRETO E ARAÇATUBA</t>
        </is>
      </c>
      <c r="G488" t="inlineStr">
        <is>
          <t>RENATO PAVARINO, G1 RIO PRETO E ARAÇATUBA</t>
        </is>
      </c>
      <c r="H488" t="inlineStr">
        <is>
          <t>EM MISSÃO HÁ MAIS DE 10 ANOS NO HAITI, FREI BRASILEIRO DESCREVE SITUAÇÃO CAÓTICA APÓS TERREMOTO E CICLONE: 'SEM ÁGUA E ALIMENTAÇÃO'</t>
        </is>
      </c>
      <c r="I488" t="inlineStr">
        <is>
          <t>FREI GABRIEL ALVES FOI ENVIADO PELA ASSOCIAÇÃO E FRATERNIDADE SÃO FRANCISCO DE ASSIS NA PROVIDÊNCIA DE DEUS, QUE FICA EM JACI (SP), PARA PORTO PRÍNCIPE, CAPITAL DO HAITI. ELE ATUA COMO MISSIONÁRIO E AJUDA A POPULAÇÃO.</t>
        </is>
      </c>
      <c r="J488">
        <f>HYPERLINK("https://g1.globo.com/sp/sao-jose-do-rio-preto-aracatuba/noticia/2021/08/17/em-missao-ha-mais-de-10-anos-no-haiti-frei-do-interior-de-sp-descreve-situacao-caotica-apos-terremoto-e-ciclone.ghtml", "URL")</f>
        <v/>
      </c>
      <c r="K488">
        <f>HYPERLINK("https://raw.githubusercontent.com/marcosmapl/dataset_imigrantes/main/noticias_filtered/g1/haitianos/2021/07_ago/html/g1_3d303138-2317-11ed-b24f-6dbe51e79fca_3195.html", "HTML")</f>
        <v/>
      </c>
      <c r="L488">
        <f>HYPERLINK("https://raw.githubusercontent.com/marcosmapl/dataset_imigrantes/main/noticias_filtered/g1/haitianos/2021/07_ago/txt/g1_3d303138-2317-11ed-b24f-6dbe51e79fca_3195.txt", "TXT")</f>
        <v/>
      </c>
    </row>
    <row r="489">
      <c r="A489" s="1" t="n">
        <v>487</v>
      </c>
      <c r="B489" t="n">
        <v>2021</v>
      </c>
      <c r="C489" s="2" t="n">
        <v>44425.60195601852</v>
      </c>
      <c r="D489" t="inlineStr">
        <is>
          <t>A CRITICA</t>
        </is>
      </c>
      <c r="E489" t="inlineStr">
        <is>
          <t>VENEZUELANOS</t>
        </is>
      </c>
      <c r="F489" t="inlineStr"/>
      <c r="G489" t="inlineStr">
        <is>
          <t>PORTAL A CRÍTICA</t>
        </is>
      </c>
      <c r="H489" t="inlineStr">
        <is>
          <t>UNICEF E ALDEIAS INFANTIS REALIZAM CICLOS DE CAPACITAÇÕES SOBRE EDUCAÇÃO INDÍGENA</t>
        </is>
      </c>
      <c r="I489" t="inlineStr">
        <is>
          <t>A INICIATIVA OCORRE EM CINCO ENCONTROS VIRTUAIS PARA FORMALIZAR O PROTOCOLO INTERCULTURAL DE PROTEÇÃO INTEGRAL DAS INFÂNCIAS INDÍGENAS NO AMAZONAS E PARÁ</t>
        </is>
      </c>
      <c r="J489">
        <f>HYPERLINK("https://www.acritica.com/unicef-e-aldeias-infantis-realizam-ciclos-de-capacitac-es-sobre-educac-o-indigena-1.11806", "URL")</f>
        <v/>
      </c>
      <c r="K489">
        <f>HYPERLINK("https://raw.githubusercontent.com/marcosmapl/dataset_imigrantes/main/noticias_filtered/a_critica/venezuelanos/2021/07_ago/html/1.11806_290.html", "HTML")</f>
        <v/>
      </c>
      <c r="L489">
        <f>HYPERLINK("https://raw.githubusercontent.com/marcosmapl/dataset_imigrantes/main/noticias_filtered/a_critica/venezuelanos/2021/07_ago/txt/1.11806_290.txt", "TXT")</f>
        <v/>
      </c>
    </row>
    <row r="490">
      <c r="A490" s="1" t="n">
        <v>488</v>
      </c>
      <c r="B490" t="n">
        <v>2021</v>
      </c>
      <c r="C490" s="2" t="n">
        <v>44425.54115740741</v>
      </c>
      <c r="D490" t="inlineStr">
        <is>
          <t>A CRITICA</t>
        </is>
      </c>
      <c r="E490" t="inlineStr">
        <is>
          <t>HAITIANOS</t>
        </is>
      </c>
      <c r="F490" t="inlineStr"/>
      <c r="G490" t="inlineStr">
        <is>
          <t>AGÊNCIA BRASIL</t>
        </is>
      </c>
      <c r="H490" t="inlineStr">
        <is>
          <t>HAITI: TEMPESTADE DIMINUI ESPERANÇA DE ENCONTRAR SOBREVIVENTES</t>
        </is>
      </c>
      <c r="I490" t="inlineStr">
        <is>
          <t>TEMPESTADE GRACE CHEGOU AO SUDOESTE HAITIANO</t>
        </is>
      </c>
      <c r="J490">
        <f>HYPERLINK("https://www.acritica.com/haiti-tempestade-diminui-esperanca-de-encontrar-sobreviventes-1.11827", "URL")</f>
        <v/>
      </c>
      <c r="K490">
        <f>HYPERLINK("https://raw.githubusercontent.com/marcosmapl/dataset_imigrantes/main/noticias_filtered/a_critica/haitianos/2021/07_ago/html/1.11827_1094.html", "HTML")</f>
        <v/>
      </c>
      <c r="L490">
        <f>HYPERLINK("https://raw.githubusercontent.com/marcosmapl/dataset_imigrantes/main/noticias_filtered/a_critica/haitianos/2021/07_ago/txt/1.11827_1094.txt", "TXT")</f>
        <v/>
      </c>
    </row>
    <row r="491">
      <c r="A491" s="1" t="n">
        <v>489</v>
      </c>
      <c r="B491" t="n">
        <v>2021</v>
      </c>
      <c r="C491" s="2" t="n">
        <v>44424.90837555555</v>
      </c>
      <c r="D491" t="inlineStr">
        <is>
          <t>G1</t>
        </is>
      </c>
      <c r="E491" t="inlineStr">
        <is>
          <t>HAITIANOS</t>
        </is>
      </c>
      <c r="F491" t="inlineStr">
        <is>
          <t>MATO GROSSO DO SUL</t>
        </is>
      </c>
      <c r="G491" t="inlineStr">
        <is>
          <t>FLÁVIO DIAS, G1 MS — CAMPO GRANDE</t>
        </is>
      </c>
      <c r="H491" t="inlineStr">
        <is>
          <t>HAITIANO QUE VIVE EM MS DESCOBRE QUE PRIMO É UM DOS MORTOS EM TERREMOTO: 'NÃO CONSEGUI SEGURAR AS LÁGRIMAS'</t>
        </is>
      </c>
      <c r="I491" t="inlineStr">
        <is>
          <t>JAUNEL ILORA EXPLICA QUE ESPOSA DE PRIMO E TRÊS FILHOS SOBREVIVERAM. MAIS DE 2.800 PESSOAS ESTÃO FERIDAS E QUASE 3 MIL CONSTRUÇÕES FORAM DESTRUÍDAS; SITUAÇÃO É PIOR NO SUL DO PAÍS, ONDE MAIS DE 500 MORRERAM.</t>
        </is>
      </c>
      <c r="J491">
        <f>HYPERLINK("https://g1.globo.com/ms/mato-grosso-do-sul/noticia/2021/08/16/haitiano-que-vive-em-ms-descobre-que-primo-e-um-dos-mortos-em-terremoto-nao-consegui-segurar-as-lagrimas.ghtml", "URL")</f>
        <v/>
      </c>
      <c r="K491">
        <f>HYPERLINK("https://raw.githubusercontent.com/marcosmapl/dataset_imigrantes/main/noticias_filtered/g1/haitianos/2021/07_ago/html/g1_4000fd64-22ec-11ed-b24f-6dbe51e79fca_1651.html", "HTML")</f>
        <v/>
      </c>
      <c r="L491">
        <f>HYPERLINK("https://raw.githubusercontent.com/marcosmapl/dataset_imigrantes/main/noticias_filtered/g1/haitianos/2021/07_ago/txt/g1_4000fd64-22ec-11ed-b24f-6dbe51e79fca_1651.txt", "TXT")</f>
        <v/>
      </c>
    </row>
    <row r="492">
      <c r="A492" s="1" t="n">
        <v>490</v>
      </c>
      <c r="B492" t="n">
        <v>2021</v>
      </c>
      <c r="C492" s="2" t="n">
        <v>44424.72355248842</v>
      </c>
      <c r="D492" t="inlineStr">
        <is>
          <t>G1</t>
        </is>
      </c>
      <c r="E492" t="inlineStr">
        <is>
          <t>HAITIANOS</t>
        </is>
      </c>
      <c r="F492" t="inlineStr">
        <is>
          <t>ACRE</t>
        </is>
      </c>
      <c r="G492" t="inlineStr">
        <is>
          <t>G1 AC — RIO BRANCO</t>
        </is>
      </c>
      <c r="H492" t="inlineStr">
        <is>
          <t>HAITIANO QUE FICOU PARAPLÉGICO AO SER OBRIGADO A SE JOGAR DE PONTE NO AC RECEBE ALTA E VAI PARA ABRIGO</t>
        </is>
      </c>
      <c r="I492" t="inlineStr">
        <is>
          <t>JACQUENUE BOSQUET, DE 36 ANOS, FOI LEVADO A UM ABRIGO DE RIO BRANCO ATÉ QUE POSSA REENCONTRAR A FAMÍLIA NO MATO GROSSO DO SUL, ONDE FORAM LOCALIZADOS FAMILIARES.</t>
        </is>
      </c>
      <c r="J492">
        <f>HYPERLINK("https://g1.globo.com/ac/acre/noticia/2021/08/16/haitiano-que-ficou-paraplegico-ao-ser-obrigado-a-se-jogar-de-ponte-no-ac-recebe-alta-e-vai-para-abrigo.ghtml", "URL")</f>
        <v/>
      </c>
      <c r="K492">
        <f>HYPERLINK("https://raw.githubusercontent.com/marcosmapl/dataset_imigrantes/main/noticias_filtered/g1/haitianos/2021/07_ago/html/g1_a0f587fe-22f4-11ed-b24f-6dbe51e79fca_1902.html", "HTML")</f>
        <v/>
      </c>
      <c r="L492">
        <f>HYPERLINK("https://raw.githubusercontent.com/marcosmapl/dataset_imigrantes/main/noticias_filtered/g1/haitianos/2021/07_ago/txt/g1_a0f587fe-22f4-11ed-b24f-6dbe51e79fca_1902.txt", "TXT")</f>
        <v/>
      </c>
    </row>
    <row r="493">
      <c r="A493" s="1" t="n">
        <v>491</v>
      </c>
      <c r="B493" t="n">
        <v>2021</v>
      </c>
      <c r="C493" s="2" t="n">
        <v>44424.61506663194</v>
      </c>
      <c r="D493" t="inlineStr">
        <is>
          <t>G1</t>
        </is>
      </c>
      <c r="E493" t="inlineStr">
        <is>
          <t>HAITIANOS</t>
        </is>
      </c>
      <c r="F493" t="inlineStr">
        <is>
          <t>DISTRITO FEDERAL</t>
        </is>
      </c>
      <c r="G493" t="inlineStr">
        <is>
          <t>MARÍLIA MARQUES, G1 DF</t>
        </is>
      </c>
      <c r="H493" t="inlineStr">
        <is>
          <t>HAITIANO QUE SOBREVIVEU A TERREMOTO NO PAÍS, EM 2010, RELEMBRA TERROR APÓS NOVO TREMOR DE TERRA: 'PESSOAS ESTÃO TRAUMATIZADAS'</t>
        </is>
      </c>
      <c r="I493" t="inlineStr">
        <is>
          <t>JACKY MATHIEU, DE 28 ANOS, TINHA 17 E MORAVA EM PORTO PRÍNCIPE QUANDO TEVE CASA DESTRUÍDA, HÁ 11 ANOS; ELE SE MUDOU PARA BRASÍLIA EM 2016. NO SÁBADO (14), TERREMOTO DE 7.2 DE MAGNITUDE VOLTOU A ATINGIR PARTE DO HAITI.</t>
        </is>
      </c>
      <c r="J493">
        <f>HYPERLINK("https://g1.globo.com/df/distrito-federal/noticia/2021/08/16/haitiano-que-vive-em-brasilia-e-sobreviveu-a-terremoto-no-pais-em-2010-relembra-terror-apos-tremor-de-terra-pessoas-estao-traumatizadas.ghtml", "URL")</f>
        <v/>
      </c>
      <c r="K493">
        <f>HYPERLINK("https://raw.githubusercontent.com/marcosmapl/dataset_imigrantes/main/noticias_filtered/g1/haitianos/2021/07_ago/html/g1_0a825b88-22f1-11ed-b24f-6dbe51e79fca_1731.html", "HTML")</f>
        <v/>
      </c>
      <c r="L493">
        <f>HYPERLINK("https://raw.githubusercontent.com/marcosmapl/dataset_imigrantes/main/noticias_filtered/g1/haitianos/2021/07_ago/txt/g1_0a825b88-22f1-11ed-b24f-6dbe51e79fca_1731.txt", "TXT")</f>
        <v/>
      </c>
    </row>
    <row r="494">
      <c r="A494" s="1" t="n">
        <v>492</v>
      </c>
      <c r="B494" t="n">
        <v>2021</v>
      </c>
      <c r="C494" s="2" t="n">
        <v>44424.61506663194</v>
      </c>
      <c r="D494" t="inlineStr">
        <is>
          <t>G1</t>
        </is>
      </c>
      <c r="E494" t="inlineStr">
        <is>
          <t>HAITIANOS</t>
        </is>
      </c>
      <c r="F494" t="inlineStr">
        <is>
          <t>DISTRITO FEDERAL</t>
        </is>
      </c>
      <c r="G494" t="inlineStr">
        <is>
          <t>MARÍLIA MARQUES, G1 DF</t>
        </is>
      </c>
      <c r="H494" t="inlineStr">
        <is>
          <t>HAITIANO QUE SOBREVIVEU A TERREMOTO NO PAÍS, EM 2010, RELEMBRA TERROR APÓS NOVO TREMOR DE TERRA: 'PESSOAS ESTÃO TRAUMATIZADAS'</t>
        </is>
      </c>
      <c r="I494" t="inlineStr">
        <is>
          <t>JACKY MATHIEU, DE 28 ANOS, TINHA 17 E MORAVA EM PORTO PRÍNCIPE QUANDO TEVE CASA DESTRUÍDA, HÁ 11 ANOS; ELE SE MUDOU PARA BRASÍLIA EM 2016. NO SÁBADO (14), TERREMOTO DE 7.2 DE MAGNITUDE VOLTOU A ATINGIR PARTE DO HAITI.</t>
        </is>
      </c>
      <c r="J494">
        <f>HYPERLINK("https://g1.globo.com/df/distrito-federal/noticia/2021/08/16/haitiano-que-vive-em-brasilia-e-sobreviveu-a-terremoto-no-pais-em-2010-relembra-terror-apos-tremor-de-terra-pessoas-estao-traumatizadas.ghtml", "URL")</f>
        <v/>
      </c>
      <c r="K494">
        <f>HYPERLINK("https://raw.githubusercontent.com/marcosmapl/dataset_imigrantes/main/noticias_filtered/g1/haitianos/2021/07_ago/html/g1_93057a06-17fc-42f8-9ae2-e1746d09f0c3_1623.html", "HTML")</f>
        <v/>
      </c>
      <c r="L494">
        <f>HYPERLINK("https://raw.githubusercontent.com/marcosmapl/dataset_imigrantes/main/noticias_filtered/g1/haitianos/2021/07_ago/txt/g1_93057a06-17fc-42f8-9ae2-e1746d09f0c3_1623.txt", "TXT")</f>
        <v/>
      </c>
    </row>
    <row r="495">
      <c r="A495" s="1" t="n">
        <v>493</v>
      </c>
      <c r="B495" t="n">
        <v>2021</v>
      </c>
      <c r="C495" s="2" t="n">
        <v>44424.22938310185</v>
      </c>
      <c r="D495" t="inlineStr">
        <is>
          <t>G1</t>
        </is>
      </c>
      <c r="E495" t="inlineStr">
        <is>
          <t>HAITIANOS</t>
        </is>
      </c>
      <c r="F495" t="inlineStr">
        <is>
          <t>AGENDA DO DIA</t>
        </is>
      </c>
      <c r="G495" t="inlineStr">
        <is>
          <t>G1</t>
        </is>
      </c>
      <c r="H495" t="inlineStr">
        <is>
          <t>SEGUNDA-FEIRA, 16 DE AGOSTO</t>
        </is>
      </c>
      <c r="I495" t="inlineStr">
        <is>
          <t>VEJA O QUE VOCÊ PRECISA SABER PARA COMEÇAR O DIA BEM-INFORMADO.</t>
        </is>
      </c>
      <c r="J495">
        <f>HYPERLINK("https://g1.globo.com/agenda-do-dia/noticia/2021/08/16/segunda-feira-16-de-agosto.ghtml", "URL")</f>
        <v/>
      </c>
      <c r="K495">
        <f>HYPERLINK("https://raw.githubusercontent.com/marcosmapl/dataset_imigrantes/main/noticias_filtered/g1/haitianos/2021/07_ago/html/g1_909bb330-22ed-11ed-b24f-6dbe51e79fca_1681.html", "HTML")</f>
        <v/>
      </c>
      <c r="L495">
        <f>HYPERLINK("https://raw.githubusercontent.com/marcosmapl/dataset_imigrantes/main/noticias_filtered/g1/haitianos/2021/07_ago/txt/g1_909bb330-22ed-11ed-b24f-6dbe51e79fca_1681.txt", "TXT")</f>
        <v/>
      </c>
    </row>
    <row r="496">
      <c r="A496" s="1" t="n">
        <v>494</v>
      </c>
      <c r="B496" t="n">
        <v>2021</v>
      </c>
      <c r="C496" s="2" t="n">
        <v>44423.96489583333</v>
      </c>
      <c r="D496" t="inlineStr">
        <is>
          <t>A CRITICA</t>
        </is>
      </c>
      <c r="E496" t="inlineStr">
        <is>
          <t>HAITIANOS</t>
        </is>
      </c>
      <c r="F496" t="inlineStr"/>
      <c r="G496" t="inlineStr">
        <is>
          <t>PORTAL A CRÍTICA E AGÊNCIAS</t>
        </is>
      </c>
      <c r="H496" t="inlineStr">
        <is>
          <t>TERREMOTO NO HAITI DEIXA QUASE 1300 VÍTIMAS E 2.800 FERIDOS, INFORMAM AUTORIDADES</t>
        </is>
      </c>
      <c r="I496" t="inlineStr">
        <is>
          <t>PRIMEIRO-MINISTRO DO PAÍS, ARIEL HENRY, DECRETOU ESTADO DE EMERGÊNCIA POR 30 DIAS</t>
        </is>
      </c>
      <c r="J496">
        <f>HYPERLINK("https://www.acritica.com/terremoto-no-haiti-deixa-quase-1300-vitimas-e-2-800-feridos-informam-autoridades-1.10202", "URL")</f>
        <v/>
      </c>
      <c r="K496">
        <f>HYPERLINK("https://raw.githubusercontent.com/marcosmapl/dataset_imigrantes/main/noticias_filtered/a_critica/haitianos/2021/07_ago/html/1.10202_405.html", "HTML")</f>
        <v/>
      </c>
      <c r="L496">
        <f>HYPERLINK("https://raw.githubusercontent.com/marcosmapl/dataset_imigrantes/main/noticias_filtered/a_critica/haitianos/2021/07_ago/txt/1.10202_405.txt", "TXT")</f>
        <v/>
      </c>
    </row>
    <row r="497">
      <c r="A497" s="1" t="n">
        <v>495</v>
      </c>
      <c r="B497" t="n">
        <v>2021</v>
      </c>
      <c r="C497" s="2" t="n">
        <v>44423.94435079861</v>
      </c>
      <c r="D497" t="inlineStr">
        <is>
          <t>G1</t>
        </is>
      </c>
      <c r="E497" t="inlineStr">
        <is>
          <t>HAITIANOS</t>
        </is>
      </c>
      <c r="F497" t="inlineStr">
        <is>
          <t>MUNDO</t>
        </is>
      </c>
      <c r="G497" t="inlineStr">
        <is>
          <t>G1</t>
        </is>
      </c>
      <c r="H497" t="inlineStr">
        <is>
          <t>NÚMERO DE MORTOS POR TERREMOTO NO HAITI PASSA DE 1.200</t>
        </is>
      </c>
      <c r="I497" t="inlineStr">
        <is>
          <t>MAIS DE 2.800 PESSOAS ESTÃO FERIDAS E QUASE 3 MIL CONSTRUÇÕES FORAM DESTRUÍDAS; SITUAÇÃO É PIOR NO SUL DO PAÍS, ONDE MAIS DE 500 MORRERAM. PRIMEIRO-MINISTRO DECRETOU ESTADO DE EMERGÊNCIA POR 30 DIAS E NOVO TREMOR FOI REGISTRADO NESTE DOMINGO.</t>
        </is>
      </c>
      <c r="J497">
        <f>HYPERLINK("https://g1.globo.com/mundo/noticia/2021/08/15/mortes-terremoto-haiti.ghtml", "URL")</f>
        <v/>
      </c>
      <c r="K497">
        <f>HYPERLINK("https://raw.githubusercontent.com/marcosmapl/dataset_imigrantes/main/noticias_filtered/g1/haitianos/2021/07_ago/html/g1_2da197da-2311-11ed-b24f-6dbe51e79fca_2904.html", "HTML")</f>
        <v/>
      </c>
      <c r="L497">
        <f>HYPERLINK("https://raw.githubusercontent.com/marcosmapl/dataset_imigrantes/main/noticias_filtered/g1/haitianos/2021/07_ago/txt/g1_2da197da-2311-11ed-b24f-6dbe51e79fca_2904.txt", "TXT")</f>
        <v/>
      </c>
    </row>
    <row r="498">
      <c r="A498" s="1" t="n">
        <v>496</v>
      </c>
      <c r="B498" t="n">
        <v>2021</v>
      </c>
      <c r="C498" s="2" t="n">
        <v>44423.86866953703</v>
      </c>
      <c r="D498" t="inlineStr">
        <is>
          <t>G1</t>
        </is>
      </c>
      <c r="E498" t="inlineStr">
        <is>
          <t>HAITIANOS</t>
        </is>
      </c>
      <c r="F498" t="inlineStr">
        <is>
          <t>MUNDO</t>
        </is>
      </c>
      <c r="G498" t="inlineStr">
        <is>
          <t>BBC</t>
        </is>
      </c>
      <c r="H498" t="inlineStr">
        <is>
          <t>POR QUE OCORREM TANTOS TERREMOTOS NO HAITI?</t>
        </is>
      </c>
      <c r="I498" t="inlineStr">
        <is>
          <t>FORTE TERREMOTO OCORRIDO NESTE SÁBADO VOLTOU A MOSTRAR FRAGILIDADE GEOLÓGICA DA ILHA DE HISPANIOLA, ONDE ESTÃO HAITI E REPÚBLICA DOMINICANA, MAS QUE ATINGE PRINCIPALMENTE TERRITÓRIO HAITIANO.</t>
        </is>
      </c>
      <c r="J498">
        <f>HYPERLINK("https://g1.globo.com/mundo/noticia/2021/08/15/por-que-ocorrem-tantos-terremotos-no-haiti.ghtml", "URL")</f>
        <v/>
      </c>
      <c r="K498">
        <f>HYPERLINK("https://raw.githubusercontent.com/marcosmapl/dataset_imigrantes/main/noticias_filtered/g1/haitianos/2021/07_ago/html/g1_1635fb72-22f8-11ed-b24f-6dbe51e79fca_2116.html", "HTML")</f>
        <v/>
      </c>
      <c r="L498">
        <f>HYPERLINK("https://raw.githubusercontent.com/marcosmapl/dataset_imigrantes/main/noticias_filtered/g1/haitianos/2021/07_ago/txt/g1_1635fb72-22f8-11ed-b24f-6dbe51e79fca_2116.txt", "TXT")</f>
        <v/>
      </c>
    </row>
    <row r="499">
      <c r="A499" s="1" t="n">
        <v>497</v>
      </c>
      <c r="B499" t="n">
        <v>2021</v>
      </c>
      <c r="C499" s="2" t="n">
        <v>44423.81934548611</v>
      </c>
      <c r="D499" t="inlineStr">
        <is>
          <t>G1</t>
        </is>
      </c>
      <c r="E499" t="inlineStr">
        <is>
          <t>HAITIANOS</t>
        </is>
      </c>
      <c r="F499" t="inlineStr">
        <is>
          <t>TRIÂNGULO E ALTO PARANAÍBA</t>
        </is>
      </c>
      <c r="G499" t="inlineStr">
        <is>
          <t>G1 TRIÂNGULO E ALTO PARANAÍBA</t>
        </is>
      </c>
      <c r="H499" t="inlineStr">
        <is>
          <t>JORNALISTA LANÇA LIVRO INFANTIL SOBRE CRIANÇAS DE OUTROS PAÍSES QUE MORAM EM UBERLÂNDIA</t>
        </is>
      </c>
      <c r="I499" t="inlineStr">
        <is>
          <t>GRATUITA, OBRA FOI CATALOGADA PELA CÂMARA BRASILEIRA DO LIVRO EM 2021 E PODE BAIXADA DA INTERNET.</t>
        </is>
      </c>
      <c r="J499">
        <f>HYPERLINK("https://g1.globo.com/mg/triangulo-mineiro/noticia/2021/08/15/jornalista-lanca-livro-infantil-sobre-criancas-de-outros-paises-que-moram-em-a-uberlandia.ghtml", "URL")</f>
        <v/>
      </c>
      <c r="K499">
        <f>HYPERLINK("https://raw.githubusercontent.com/marcosmapl/dataset_imigrantes/main/noticias_filtered/g1/haitianos/2021/07_ago/html/g1_b8e798a4-22ed-11ed-b24f-6dbe51e79fca_1686.html", "HTML")</f>
        <v/>
      </c>
      <c r="L499">
        <f>HYPERLINK("https://raw.githubusercontent.com/marcosmapl/dataset_imigrantes/main/noticias_filtered/g1/haitianos/2021/07_ago/txt/g1_b8e798a4-22ed-11ed-b24f-6dbe51e79fca_1686.txt", "TXT")</f>
        <v/>
      </c>
    </row>
    <row r="500">
      <c r="A500" s="1" t="n">
        <v>498</v>
      </c>
      <c r="B500" t="n">
        <v>2021</v>
      </c>
      <c r="C500" s="2" t="n">
        <v>44423.70725694444</v>
      </c>
      <c r="D500" t="inlineStr">
        <is>
          <t>A CRITICA</t>
        </is>
      </c>
      <c r="E500" t="inlineStr">
        <is>
          <t>HAITIANOS</t>
        </is>
      </c>
      <c r="F500" t="inlineStr"/>
      <c r="G500" t="inlineStr">
        <is>
          <t>AGÊNCIA BRASIL</t>
        </is>
      </c>
      <c r="H500" t="inlineStr">
        <is>
          <t>TERREMOTO NO HAITI FEZ 304 MORTOS E MAIS DE 1,8 MIL FERIDOS</t>
        </is>
      </c>
      <c r="I500" t="inlineStr">
        <is>
          <t>AS EQUIPES DE RESGATE TENTAM AGORA DESCOBRIR SOBREVIVENTES DEBAIXO DOS VÁRIOS EDIFÍCIOS QUE DESABARAM NO SUDOESTE DO PAÍS</t>
        </is>
      </c>
      <c r="J500">
        <f>HYPERLINK("https://www.acritica.com/terremoto-no-haiti-fez-304-mortos-e-mais-de-1-8-mil-feridos-1.10222", "URL")</f>
        <v/>
      </c>
      <c r="K500">
        <f>HYPERLINK("https://raw.githubusercontent.com/marcosmapl/dataset_imigrantes/main/noticias_filtered/a_critica/haitianos/2021/07_ago/html/1.10222_1074.html", "HTML")</f>
        <v/>
      </c>
      <c r="L500">
        <f>HYPERLINK("https://raw.githubusercontent.com/marcosmapl/dataset_imigrantes/main/noticias_filtered/a_critica/haitianos/2021/07_ago/txt/1.10222_1074.txt", "TXT")</f>
        <v/>
      </c>
    </row>
    <row r="501">
      <c r="A501" s="1" t="n">
        <v>499</v>
      </c>
      <c r="B501" t="n">
        <v>2021</v>
      </c>
      <c r="C501" s="2" t="n">
        <v>44423.70051541667</v>
      </c>
      <c r="D501" t="inlineStr">
        <is>
          <t>G1</t>
        </is>
      </c>
      <c r="E501" t="inlineStr">
        <is>
          <t>HAITIANOS</t>
        </is>
      </c>
      <c r="F501" t="inlineStr">
        <is>
          <t>MATO GROSSO DO SUL</t>
        </is>
      </c>
      <c r="G501" t="inlineStr">
        <is>
          <t>FLÁVIO DIAS, G1 MS — CAMPO GRANDE</t>
        </is>
      </c>
      <c r="H501" t="inlineStr">
        <is>
          <t>HAITIANO QUE VIVE EM MS FALA DO DESESPERO DE NÃO CONSEGUIR CONTATO COM 5 PESSOAS DA FAMÍLIA APÓS TERREMOTO</t>
        </is>
      </c>
      <c r="I501" t="inlineStr">
        <is>
          <t>JAUNEL ILORA EXPLICA QUE OS PARENTES DESAPARECIDOS MORAM NA REGIÃO SUL DO PAÍS, LOCAL BASTANTE AFETADO PELOS TREMORES QUE DEIXARAM MAIS DE 1200 MORTOS.</t>
        </is>
      </c>
      <c r="J501">
        <f>HYPERLINK("https://g1.globo.com/ms/mato-grosso-do-sul/noticia/2021/08/15/haitiano-que-vive-em-ms-fala-do-desespero-de-nao-conseguir-contato-com-5-pessoas-da-familia-apos-terremoto.ghtml", "URL")</f>
        <v/>
      </c>
      <c r="K501">
        <f>HYPERLINK("https://raw.githubusercontent.com/marcosmapl/dataset_imigrantes/main/noticias_filtered/g1/haitianos/2021/07_ago/html/g1_0eb86ebe-22fa-11ed-b24f-6dbe51e79fca_2196.html", "HTML")</f>
        <v/>
      </c>
      <c r="L501">
        <f>HYPERLINK("https://raw.githubusercontent.com/marcosmapl/dataset_imigrantes/main/noticias_filtered/g1/haitianos/2021/07_ago/txt/g1_0eb86ebe-22fa-11ed-b24f-6dbe51e79fca_2196.txt", "TXT")</f>
        <v/>
      </c>
    </row>
    <row r="502">
      <c r="A502" s="1" t="n">
        <v>500</v>
      </c>
      <c r="B502" t="n">
        <v>2021</v>
      </c>
      <c r="C502" s="2" t="n">
        <v>44423.64653587963</v>
      </c>
      <c r="D502" t="inlineStr">
        <is>
          <t>G1</t>
        </is>
      </c>
      <c r="E502" t="inlineStr">
        <is>
          <t>HAITIANOS</t>
        </is>
      </c>
      <c r="F502" t="inlineStr">
        <is>
          <t>MUNDO</t>
        </is>
      </c>
      <c r="G502" t="inlineStr">
        <is>
          <t>G1</t>
        </is>
      </c>
      <c r="H502" t="inlineStr">
        <is>
          <t>NÚMERO DE MORTOS POR TERREMOTO NO HAITI PASSA DE 700</t>
        </is>
      </c>
      <c r="I502" t="inlineStr">
        <is>
          <t>NOVO TREMOR DE MAGNITUDE 5,9 ACONTECE HORAS DEPOIS DE OUTRO DE 7,2 DEIXAR MAIS DE 300 MORTOS NO PAÍS NO SÁBADO (14). PRIMEIRO-MINISTRO DO HAITI DECRETOU ESTADO DE EMERGÊNCIA POR 30 DIAS.</t>
        </is>
      </c>
      <c r="J502">
        <f>HYPERLINK("https://g1.globo.com/mundo/noticia/2021/08/15/sobe-para-724-numero-de-mortos-por-terremoto-no-haiti.ghtml", "URL")</f>
        <v/>
      </c>
      <c r="K502">
        <f>HYPERLINK("https://raw.githubusercontent.com/marcosmapl/dataset_imigrantes/main/noticias_filtered/g1/haitianos/2021/07_ago/html/g1_2c197aea-22ee-11ed-b24f-6dbe51e79fca_1701.html", "HTML")</f>
        <v/>
      </c>
      <c r="L502">
        <f>HYPERLINK("https://raw.githubusercontent.com/marcosmapl/dataset_imigrantes/main/noticias_filtered/g1/haitianos/2021/07_ago/txt/g1_2c197aea-22ee-11ed-b24f-6dbe51e79fca_1701.txt", "TXT")</f>
        <v/>
      </c>
    </row>
    <row r="503">
      <c r="A503" s="1" t="n">
        <v>501</v>
      </c>
      <c r="B503" t="n">
        <v>2021</v>
      </c>
      <c r="C503" s="2" t="n">
        <v>44423.16387047453</v>
      </c>
      <c r="D503" t="inlineStr">
        <is>
          <t>G1</t>
        </is>
      </c>
      <c r="E503" t="inlineStr">
        <is>
          <t>HAITIANOS</t>
        </is>
      </c>
      <c r="F503" t="inlineStr">
        <is>
          <t>MUNDO</t>
        </is>
      </c>
      <c r="G503" t="inlineStr">
        <is>
          <t>G1</t>
        </is>
      </c>
      <c r="H503" t="inlineStr">
        <is>
          <t>NOVO TERREMOTO ATINGE O HAITI</t>
        </is>
      </c>
      <c r="I503" t="inlineStr">
        <is>
          <t>TREMOR DE MAGNITUDE 5,9 OCORRE HORAS DEPOIS DE OUTRO DE 7,2 DEIXAR MAIS DE 300 MORTOS NO PAÍS.</t>
        </is>
      </c>
      <c r="J503">
        <f>HYPERLINK("https://g1.globo.com/mundo/noticia/2021/08/15/haiti-novo-terremoto.ghtml", "URL")</f>
        <v/>
      </c>
      <c r="K503">
        <f>HYPERLINK("https://raw.githubusercontent.com/marcosmapl/dataset_imigrantes/main/noticias_filtered/g1/haitianos/2021/07_ago/html/g1_c5b2cea8-2326-11ed-b24f-6dbe51e79fca_3997.html", "HTML")</f>
        <v/>
      </c>
      <c r="L503">
        <f>HYPERLINK("https://raw.githubusercontent.com/marcosmapl/dataset_imigrantes/main/noticias_filtered/g1/haitianos/2021/07_ago/txt/g1_c5b2cea8-2326-11ed-b24f-6dbe51e79fca_3997.txt", "TXT")</f>
        <v/>
      </c>
    </row>
    <row r="504">
      <c r="A504" s="1" t="n">
        <v>502</v>
      </c>
      <c r="B504" t="n">
        <v>2021</v>
      </c>
      <c r="C504" s="2" t="n">
        <v>44423.00227928241</v>
      </c>
      <c r="D504" t="inlineStr">
        <is>
          <t>G1</t>
        </is>
      </c>
      <c r="E504" t="inlineStr">
        <is>
          <t>HAITIANOS</t>
        </is>
      </c>
      <c r="F504" t="inlineStr">
        <is>
          <t>POLÍTICA</t>
        </is>
      </c>
      <c r="G504" t="inlineStr">
        <is>
          <t>G1 — BRASÍLIA</t>
        </is>
      </c>
      <c r="H504" t="inlineStr">
        <is>
          <t>TERREMOTO NO HAITI: ITAMARATY DIZ QUE, POR ORA, NÃO HÁ REGISTRO DE VÍTIMAS BRASILEIRAS</t>
        </is>
      </c>
      <c r="I504" t="inlineStr">
        <is>
          <t>SEGUNDO MINISTÉRIO DAS RELAÇÕES EXTERIORES, COMUNIDADE BRASILEIRA NO HAITI É ESTIMADA EM 50 PESSOAS. TREMOR DE MAGNITUDE 7,2 DEIXOU MAIS DE 300 MORTOS NO PAÍS CARIBENHO.</t>
        </is>
      </c>
      <c r="J504">
        <f>HYPERLINK("https://g1.globo.com/politica/noticia/2021/08/14/terremoto-no-haiti-itamaraty-diz-que-por-ora-nao-ha-registro-de-vitimas-brasileiras.ghtml", "URL")</f>
        <v/>
      </c>
      <c r="K504">
        <f>HYPERLINK("https://raw.githubusercontent.com/marcosmapl/dataset_imigrantes/main/noticias_filtered/g1/haitianos/2021/07_ago/html/g1_3c198956-2318-11ed-b24f-6dbe51e79fca_3249.html", "HTML")</f>
        <v/>
      </c>
      <c r="L504">
        <f>HYPERLINK("https://raw.githubusercontent.com/marcosmapl/dataset_imigrantes/main/noticias_filtered/g1/haitianos/2021/07_ago/txt/g1_3c198956-2318-11ed-b24f-6dbe51e79fca_3249.txt", "TXT")</f>
        <v/>
      </c>
    </row>
    <row r="505">
      <c r="A505" s="1" t="n">
        <v>503</v>
      </c>
      <c r="B505" t="n">
        <v>2021</v>
      </c>
      <c r="C505" s="2" t="n">
        <v>44422.92661649305</v>
      </c>
      <c r="D505" t="inlineStr">
        <is>
          <t>G1</t>
        </is>
      </c>
      <c r="E505" t="inlineStr">
        <is>
          <t>HAITIANOS</t>
        </is>
      </c>
      <c r="F505" t="inlineStr">
        <is>
          <t>SOROCABA E JUNDIAÍ</t>
        </is>
      </c>
      <c r="G505" t="inlineStr">
        <is>
          <t>GABRIELA ALMEIDA*, G1 SOROCABA E JUNDIAÍ</t>
        </is>
      </c>
      <c r="H505" t="inlineStr">
        <is>
          <t>HAITIANA NO BRASIL RELATA DESESPERO AO NÃO CONSEGUIR CONTATO COM IRMÃO DEPOIS DE TERREMOTO: 'PERDEU O CELULAR ENQUANTO CORRIA'</t>
        </is>
      </c>
      <c r="I505" t="inlineStr">
        <is>
          <t>FRANCELINE LORGEANT, MORADORA DE VÁRZEA PAULISTA (SP), DIZ QUE O IRMÃO FICOU SEM CONTATO POR HORAS APÓS PERDER O CELULAR ENQUANTO CORRIA DO TERREMOTO, MAS CONSEGUIU SE SALVAR. TREMOR DE MAGNITUDE 7,2 FOI SENTIDO TAMBÉM NA REPÚBLICA DOMINICANA, JAMAICA E CUBA.</t>
        </is>
      </c>
      <c r="J505">
        <f>HYPERLINK("https://g1.globo.com/sp/sorocaba-jundiai/noticia/2021/08/14/haitiana-no-brasil-relata-desespero-da-familia-ao-saber-de-terremoto-e-nao-conseguir-contato-com-irmao-ele-perdeu-o-celular-enquanto-corria.ghtml", "URL")</f>
        <v/>
      </c>
      <c r="K505">
        <f>HYPERLINK("https://raw.githubusercontent.com/marcosmapl/dataset_imigrantes/main/noticias_filtered/g1/haitianos/2021/07_ago/html/g1_47011a4c-2317-11ed-b24f-6dbe51e79fca_3198.html", "HTML")</f>
        <v/>
      </c>
      <c r="L505">
        <f>HYPERLINK("https://raw.githubusercontent.com/marcosmapl/dataset_imigrantes/main/noticias_filtered/g1/haitianos/2021/07_ago/txt/g1_47011a4c-2317-11ed-b24f-6dbe51e79fca_3198.txt", "TXT")</f>
        <v/>
      </c>
    </row>
    <row r="506">
      <c r="A506" s="1" t="n">
        <v>504</v>
      </c>
      <c r="B506" t="n">
        <v>2021</v>
      </c>
      <c r="C506" s="2" t="n">
        <v>44422.69368055555</v>
      </c>
      <c r="D506" t="inlineStr">
        <is>
          <t>A CRITICA</t>
        </is>
      </c>
      <c r="E506" t="inlineStr">
        <is>
          <t>HAITIANOS</t>
        </is>
      </c>
      <c r="F506" t="inlineStr"/>
      <c r="G506" t="inlineStr">
        <is>
          <t>AGÊNCIA BRASIL</t>
        </is>
      </c>
      <c r="H506" t="inlineStr">
        <is>
          <t>TERREMOTO DE MAGNITUDE 7,2 ATINGE O HAITI</t>
        </is>
      </c>
      <c r="I506" t="inlineStr">
        <is>
          <t>SERVIÇO GEOLÓGICO DOS ESTADOS UNIDOS EMITE ALERTA DE TSUNAMI</t>
        </is>
      </c>
      <c r="J506">
        <f>HYPERLINK("https://www.acritica.com/terremoto-de-magnitude-7-2-atinge-o-haiti-1.10264", "URL")</f>
        <v/>
      </c>
      <c r="K506">
        <f>HYPERLINK("https://raw.githubusercontent.com/marcosmapl/dataset_imigrantes/main/noticias_filtered/a_critica/haitianos/2021/07_ago/html/1.10264_84.html", "HTML")</f>
        <v/>
      </c>
      <c r="L506">
        <f>HYPERLINK("https://raw.githubusercontent.com/marcosmapl/dataset_imigrantes/main/noticias_filtered/a_critica/haitianos/2021/07_ago/txt/1.10264_84.txt", "TXT")</f>
        <v/>
      </c>
    </row>
    <row r="507">
      <c r="A507" s="1" t="n">
        <v>505</v>
      </c>
      <c r="B507" t="n">
        <v>2021</v>
      </c>
      <c r="C507" s="2" t="n">
        <v>44421.82077587963</v>
      </c>
      <c r="D507" t="inlineStr">
        <is>
          <t>G1</t>
        </is>
      </c>
      <c r="E507" t="inlineStr">
        <is>
          <t>VENEZUELANOS</t>
        </is>
      </c>
      <c r="F507" t="inlineStr">
        <is>
          <t>RORAIMA</t>
        </is>
      </c>
      <c r="G507" t="inlineStr">
        <is>
          <t>G1 RR — BOA VISTA</t>
        </is>
      </c>
      <c r="H507" t="inlineStr">
        <is>
          <t>TRIO É PRESO SUSPEITO DE ASSASSINAR CINCO VENEZUELANOS POR DÍVIDA DE DROGAS COM TRAFICANTES, EM RR</t>
        </is>
      </c>
      <c r="I507" t="inlineStr">
        <is>
          <t>SUSPEITOS FORAM PRESOS COM UMA ARMA E MUNIÇÕES. POLÍCIA CIVIL AFIRMA QUE O TRIO ATUA NA COBRANÇA DAS DÍVIDAS E NA EXECUÇÃO DE PESSOAS POR NÃO PAGAMENTO AOS TRAFICANTES.</t>
        </is>
      </c>
      <c r="J507">
        <f>HYPERLINK("https://g1.globo.com/rr/roraima/noticia/2021/08/13/trio-e-preso-suspeito-de-assassinar-cinco-venezuelanos-por-divida-de-drogas-com-traficantes-em-rr.ghtml", "URL")</f>
        <v/>
      </c>
      <c r="K507">
        <f>HYPERLINK("https://raw.githubusercontent.com/marcosmapl/dataset_imigrantes/main/noticias_filtered/g1/venezuelanos/2021/07_ago/html/g1_024d910e-2313-11ed-b24f-6dbe51e79fca_2987.html", "HTML")</f>
        <v/>
      </c>
      <c r="L507">
        <f>HYPERLINK("https://raw.githubusercontent.com/marcosmapl/dataset_imigrantes/main/noticias_filtered/g1/venezuelanos/2021/07_ago/txt/g1_024d910e-2313-11ed-b24f-6dbe51e79fca_2987.txt", "TXT")</f>
        <v/>
      </c>
    </row>
    <row r="508">
      <c r="A508" s="1" t="n">
        <v>506</v>
      </c>
      <c r="B508" t="n">
        <v>2021</v>
      </c>
      <c r="C508" s="2" t="n">
        <v>44420.74031523148</v>
      </c>
      <c r="D508" t="inlineStr">
        <is>
          <t>G1</t>
        </is>
      </c>
      <c r="E508" t="inlineStr">
        <is>
          <t>VENEZUELANOS</t>
        </is>
      </c>
      <c r="F508" t="inlineStr">
        <is>
          <t>MUNDO</t>
        </is>
      </c>
      <c r="G508" t="inlineStr">
        <is>
          <t>G1</t>
        </is>
      </c>
      <c r="H508" t="inlineStr">
        <is>
          <t>TRIBUNAL PENAL INTERNACIONAL CRITICA VENEZUELA POR NÃO INVESTIGAR CRIMES E ABRE POSSIBILIDADE DE AÇÕES JUDICIAIS CONTRA O PAÍS</t>
        </is>
      </c>
      <c r="I508" t="inlineStr">
        <is>
          <t>O TRIBUNAL DE HAIA AFIRMA QUE AS FORÇAS DE SEGURANÇA VENEZUELANAS E MILÍCIAS PRÓ-GOVERNO COMETERAM CRIMES DE CATIVEIRO, TORTURA, ESTUPRO E PERSEGUIÇÃO. O TEXTO DESTACA AINDA MAUS-TRATOS AOS DETIDOS.</t>
        </is>
      </c>
      <c r="J508">
        <f>HYPERLINK("https://g1.globo.com/mundo/noticia/2021/08/12/tribunal-penal-internacional-critica-venezuela-por-nao-investigar-crimes-e-abre-possibilidade-de-acoes-judiciais-contra-o-pais.ghtml", "URL")</f>
        <v/>
      </c>
      <c r="K508">
        <f>HYPERLINK("https://raw.githubusercontent.com/marcosmapl/dataset_imigrantes/main/noticias_filtered/g1/venezuelanos/2021/07_ago/html/g1_9067b5d0-2306-11ed-b24f-6dbe51e79fca_2266.html", "HTML")</f>
        <v/>
      </c>
      <c r="L508">
        <f>HYPERLINK("https://raw.githubusercontent.com/marcosmapl/dataset_imigrantes/main/noticias_filtered/g1/venezuelanos/2021/07_ago/txt/g1_9067b5d0-2306-11ed-b24f-6dbe51e79fca_2266.txt", "TXT")</f>
        <v/>
      </c>
    </row>
    <row r="509">
      <c r="A509" s="1" t="n">
        <v>507</v>
      </c>
      <c r="B509" t="n">
        <v>2021</v>
      </c>
      <c r="C509" s="2" t="n">
        <v>44420.41344863426</v>
      </c>
      <c r="D509" t="inlineStr">
        <is>
          <t>G1</t>
        </is>
      </c>
      <c r="E509" t="inlineStr">
        <is>
          <t>AMBOS</t>
        </is>
      </c>
      <c r="F509" t="inlineStr">
        <is>
          <t>MUNDO</t>
        </is>
      </c>
      <c r="G509" t="inlineStr">
        <is>
          <t>BBC</t>
        </is>
      </c>
      <c r="H509" t="inlineStr">
        <is>
          <t>POR QUE MIAMI É UM 'CALDEIRÃO' DE CONSPIRAÇÕES CONTRA GOVERNOS DA AMÉRICA LATINA</t>
        </is>
      </c>
      <c r="I509" t="inlineStr">
        <is>
          <t>EMPRESA DE MIAMI É APONTADA COMO PARTE DO COMPLÔ QUE ASSASSINOU O PRESIDENTE DO HAITI. NÃO É A 1ª VEZ QUE A CIDADE AMERICANA É ENVOLVIDA EM TRAMAS PARA DERRUBAR GOVERNOS NO CONTINENTE.</t>
        </is>
      </c>
      <c r="J509">
        <f>HYPERLINK("https://g1.globo.com/mundo/noticia/2021/08/12/por-que-miami-e-um-caldeirao-de-conspiracoes-contra-governos-da-america-latina.ghtml", "URL")</f>
        <v/>
      </c>
      <c r="K509">
        <f>HYPERLINK("https://raw.githubusercontent.com/marcosmapl/dataset_imigrantes/main/noticias_filtered/g1/ambos/2021/07_ago/html/g1_5a3f8f00-2324-11ed-b24f-6dbe51e79fca_3866.html", "HTML")</f>
        <v/>
      </c>
      <c r="L509">
        <f>HYPERLINK("https://raw.githubusercontent.com/marcosmapl/dataset_imigrantes/main/noticias_filtered/g1/ambos/2021/07_ago/txt/g1_5a3f8f00-2324-11ed-b24f-6dbe51e79fca_3866.txt", "TXT")</f>
        <v/>
      </c>
    </row>
    <row r="510">
      <c r="A510" s="1" t="n">
        <v>508</v>
      </c>
      <c r="B510" t="n">
        <v>2021</v>
      </c>
      <c r="C510" s="2" t="n">
        <v>44417.89792501157</v>
      </c>
      <c r="D510" t="inlineStr">
        <is>
          <t>G1</t>
        </is>
      </c>
      <c r="E510" t="inlineStr">
        <is>
          <t>VENEZUELANOS</t>
        </is>
      </c>
      <c r="F510" t="inlineStr">
        <is>
          <t>RORAIMA</t>
        </is>
      </c>
      <c r="G510" t="inlineStr">
        <is>
          <t>CAÍQUE RODRIGUES, G1 RR — BOA VISTA</t>
        </is>
      </c>
      <c r="H510" t="inlineStr">
        <is>
          <t>DEFENSORIA IDENTIFICA 'CANTINHO DA VERGONHA' PARA CASTIGAR INDÍGENAS VENEZUELANOS EM ABRIGO</t>
        </is>
      </c>
      <c r="I510" t="inlineStr">
        <is>
          <t>INSPEÇÃO DA DEFENSORIA PÚBLICA DA UNIÃO (DPU) E MINISTÉRIO PÚBLICO DA UNIÃO (MPF) CONSTATOU QUE HAVIA ESTRUTURA DESTINADA A PUNIÇÃO DE INDÍGENAS EM ABRIGO DE RESPONSABILIDADE DA OPERAÇÃO ACOLHIDA. CASA CIVIL DA PRESIDÊNCIA INFORMOU QUE NÃO AUTORIZA NEM COMPACTUA COM QUALQUER TIPO DE AÇÃO QUE POSSA REPRESENTAR MAUS TRATOS CONTRA MIGRANTES E REFUGIADOS.</t>
        </is>
      </c>
      <c r="J510">
        <f>HYPERLINK("https://g1.globo.com/rr/roraima/noticia/2021/08/09/defensoria-identifica-cantinho-da-vergonha-para-castigar-indigenas-venezuelanos-em-abrigo.ghtml", "URL")</f>
        <v/>
      </c>
      <c r="K510">
        <f>HYPERLINK("https://raw.githubusercontent.com/marcosmapl/dataset_imigrantes/main/noticias_filtered/g1/venezuelanos/2021/07_ago/html/g1_223dded6-2315-11ed-b24f-6dbe51e79fca_3069.html", "HTML")</f>
        <v/>
      </c>
      <c r="L510">
        <f>HYPERLINK("https://raw.githubusercontent.com/marcosmapl/dataset_imigrantes/main/noticias_filtered/g1/venezuelanos/2021/07_ago/txt/g1_223dded6-2315-11ed-b24f-6dbe51e79fca_3069.txt", "TXT")</f>
        <v/>
      </c>
    </row>
    <row r="511">
      <c r="A511" s="1" t="n">
        <v>509</v>
      </c>
      <c r="B511" t="n">
        <v>2021</v>
      </c>
      <c r="C511" s="2" t="n">
        <v>44417.57119484954</v>
      </c>
      <c r="D511" t="inlineStr">
        <is>
          <t>G1</t>
        </is>
      </c>
      <c r="E511" t="inlineStr">
        <is>
          <t>VENEZUELANOS</t>
        </is>
      </c>
      <c r="F511" t="inlineStr">
        <is>
          <t>RORAIMA</t>
        </is>
      </c>
      <c r="G511" t="inlineStr">
        <is>
          <t>G1 / RR — BOA VISTA</t>
        </is>
      </c>
      <c r="H511" t="inlineStr">
        <is>
          <t>VENEZUELANO É MORTO A TIROS E ENCONTRADO COM MÃOS AMARRADAS EM BOA VISTA</t>
        </is>
      </c>
      <c r="I511" t="inlineStr">
        <is>
          <t>MORADORES RELATARAM QUE OUVIRAM CERCA DE SEIS DISPAROS E VIRAM UM CARRO FUGIR EM ALTA VELOCIDADE, INFORMOU A PM. VÍTIMA FOI IDENTIFICADA COMO O CABELEIREIRO MARCOS ARGENIS VALLEZ PEREZ, DE 24 ANOS.</t>
        </is>
      </c>
      <c r="J511">
        <f>HYPERLINK("https://g1.globo.com/rr/roraima/noticia/2021/08/09/homem-morto-a-tiros-e-encontrado-com-maos-amarradas-em-boa-vista.ghtml", "URL")</f>
        <v/>
      </c>
      <c r="K511">
        <f>HYPERLINK("https://raw.githubusercontent.com/marcosmapl/dataset_imigrantes/main/noticias_filtered/g1/venezuelanos/2021/07_ago/html/g1_2696455a-232d-11ed-b24f-6dbe51e79fca_4344.html", "HTML")</f>
        <v/>
      </c>
      <c r="L511">
        <f>HYPERLINK("https://raw.githubusercontent.com/marcosmapl/dataset_imigrantes/main/noticias_filtered/g1/venezuelanos/2021/07_ago/txt/g1_2696455a-232d-11ed-b24f-6dbe51e79fca_4344.txt", "TXT")</f>
        <v/>
      </c>
    </row>
    <row r="512">
      <c r="A512" s="1" t="n">
        <v>510</v>
      </c>
      <c r="B512" t="n">
        <v>2021</v>
      </c>
      <c r="C512" s="2" t="n">
        <v>44417.46822744213</v>
      </c>
      <c r="D512" t="inlineStr">
        <is>
          <t>G1</t>
        </is>
      </c>
      <c r="E512" t="inlineStr">
        <is>
          <t>VENEZUELANOS</t>
        </is>
      </c>
      <c r="F512" t="inlineStr">
        <is>
          <t>ECONOMIA</t>
        </is>
      </c>
      <c r="G512" t="inlineStr">
        <is>
          <t>RFI</t>
        </is>
      </c>
      <c r="H512" t="inlineStr">
        <is>
          <t>VENEZUELANOS CORREM PARA GASTAR DINHEIRO ANTES DO CORTE DE SEIS ZEROS NA MOEDA NACIONAL</t>
        </is>
      </c>
      <c r="I512" t="inlineStr">
        <is>
          <t>CONVERSÃO MONETÁRIA ENTRARÁ EM VIGOR EM OUTUBRO MOEDA NACIONAL PASSARÁ A SER CHAMADA DE BOLÍVAR DIGITAL. DESDE 2008 ATÉ AGORA O GOVERNO BOLIVARIANO IMPLEMENTOU TRÊS CONVERSÕES MONETÁRIAS E AO TODO O BOLÍVAR JÁ PERDEU 14 ZEROS.</t>
        </is>
      </c>
      <c r="J512">
        <f>HYPERLINK("https://g1.globo.com/economia/noticia/2021/08/09/venezuelanos-correm-para-gastar-dinheiro-antes-do-corte-de-seis-zeros-na-moeda-nacional.ghtml", "URL")</f>
        <v/>
      </c>
      <c r="K512">
        <f>HYPERLINK("https://raw.githubusercontent.com/marcosmapl/dataset_imigrantes/main/noticias_filtered/g1/venezuelanos/2021/07_ago/html/g1_739892b8-2328-11ed-b24f-6dbe51e79fca_4079.html", "HTML")</f>
        <v/>
      </c>
      <c r="L512">
        <f>HYPERLINK("https://raw.githubusercontent.com/marcosmapl/dataset_imigrantes/main/noticias_filtered/g1/venezuelanos/2021/07_ago/txt/g1_739892b8-2328-11ed-b24f-6dbe51e79fca_4079.txt", "TXT")</f>
        <v/>
      </c>
    </row>
    <row r="513">
      <c r="A513" s="1" t="n">
        <v>511</v>
      </c>
      <c r="B513" t="n">
        <v>2021</v>
      </c>
      <c r="C513" s="2" t="n">
        <v>44416.56897628473</v>
      </c>
      <c r="D513" t="inlineStr">
        <is>
          <t>G1</t>
        </is>
      </c>
      <c r="E513" t="inlineStr">
        <is>
          <t>HAITIANOS</t>
        </is>
      </c>
      <c r="F513" t="inlineStr">
        <is>
          <t>ACRE</t>
        </is>
      </c>
      <c r="G513" t="inlineStr">
        <is>
          <t>G1 AC — RIO BRANCO</t>
        </is>
      </c>
      <c r="H513" t="inlineStr">
        <is>
          <t>VOCÊ VIU? HAITIANO OBRIGADO A SE JOGAR DE PONTE FICA PARAPLÉGICO, HOMEM QUE MORA ISOLADO NA FLORESTA E MAIS NOTÍCIAS</t>
        </is>
      </c>
      <c r="I513" t="inlineStr">
        <is>
          <t>VEJA AS NOTÍCIAS MAIS ACESSADAS NO G1 ACRE NO PERÍODO DE 1 A 7 DE AGOSTO.</t>
        </is>
      </c>
      <c r="J513">
        <f>HYPERLINK("https://g1.globo.com/ac/acre/noticia/2021/08/08/voce-viu-haitiano-obrigado-a-se-jogar-de-ponte-fica-paraplegico-homem-que-mora-isolado-na-floresta-e-mais-noticias.ghtml", "URL")</f>
        <v/>
      </c>
      <c r="K513">
        <f>HYPERLINK("https://raw.githubusercontent.com/marcosmapl/dataset_imigrantes/main/noticias_filtered/g1/haitianos/2021/07_ago/html/g1_b5f2d918-22f9-11ed-b24f-6dbe51e79fca_2180.html", "HTML")</f>
        <v/>
      </c>
      <c r="L513">
        <f>HYPERLINK("https://raw.githubusercontent.com/marcosmapl/dataset_imigrantes/main/noticias_filtered/g1/haitianos/2021/07_ago/txt/g1_b5f2d918-22f9-11ed-b24f-6dbe51e79fca_2180.txt", "TXT")</f>
        <v/>
      </c>
    </row>
    <row r="514">
      <c r="A514" s="1" t="n">
        <v>512</v>
      </c>
      <c r="B514" t="n">
        <v>2021</v>
      </c>
      <c r="C514" s="2" t="n">
        <v>44416.54554681713</v>
      </c>
      <c r="D514" t="inlineStr">
        <is>
          <t>G1</t>
        </is>
      </c>
      <c r="E514" t="inlineStr">
        <is>
          <t>HAITIANOS</t>
        </is>
      </c>
      <c r="F514" t="inlineStr">
        <is>
          <t>SUL DO RIO E COSTA VERDE</t>
        </is>
      </c>
      <c r="G514" t="inlineStr">
        <is>
          <t>RENAN TOLENTINO</t>
        </is>
      </c>
      <c r="H514" t="inlineStr">
        <is>
          <t>REFUGIADO NO BRASIL, HAITIANO CELEBRA O PRIMEIRO DIA DOS PAIS APÓS NASCIMENTO DO FILHO: 'ELE É UM MILAGRE'</t>
        </is>
      </c>
      <c r="I514" t="inlineStr">
        <is>
          <t>BADIO STANLEY CHEGOU AO PAÍS EM 2016, RECRUTADO POR PROJETO EM RESENDE QUE DÁ OPORTUNIDADES ATRAVÉS DO FUTEBOL. CINCO ANOS DEPOIS, ELE FORMOU UMA FAMÍLIA E VIROU PAPAI DE PRIMEIRA VIAGEM.</t>
        </is>
      </c>
      <c r="J514">
        <f>HYPERLINK("https://g1.globo.com/rj/sul-do-rio-costa-verde/noticia/2021/08/08/refugiado-no-brasil-haitiano-celebra-o-primeiro-dia-dos-pais-apos-nascimento-do-filho-ele-e-um-milagre.ghtml", "URL")</f>
        <v/>
      </c>
      <c r="K514">
        <f>HYPERLINK("https://raw.githubusercontent.com/marcosmapl/dataset_imigrantes/main/noticias_filtered/g1/haitianos/2021/07_ago/html/g1_9da47d5c-22f5-11ed-b24f-6dbe51e79fca_1962.html", "HTML")</f>
        <v/>
      </c>
      <c r="L514">
        <f>HYPERLINK("https://raw.githubusercontent.com/marcosmapl/dataset_imigrantes/main/noticias_filtered/g1/haitianos/2021/07_ago/txt/g1_9da47d5c-22f5-11ed-b24f-6dbe51e79fca_1962.txt", "TXT")</f>
        <v/>
      </c>
    </row>
    <row r="515">
      <c r="A515" s="1" t="n">
        <v>513</v>
      </c>
      <c r="B515" t="n">
        <v>2021</v>
      </c>
      <c r="C515" s="2" t="n">
        <v>44414.65073589121</v>
      </c>
      <c r="D515" t="inlineStr">
        <is>
          <t>G1</t>
        </is>
      </c>
      <c r="E515" t="inlineStr">
        <is>
          <t>HAITIANOS</t>
        </is>
      </c>
      <c r="F515" t="inlineStr">
        <is>
          <t>ACRE</t>
        </is>
      </c>
      <c r="G515" t="inlineStr">
        <is>
          <t>ALCINETE GADELHA, G1 AC — RIO BRANCO</t>
        </is>
      </c>
      <c r="H515" t="inlineStr">
        <is>
          <t>HAITIANO OBRIGADO A SE JOGAR DE PONTE NO ACRE FICA PARAPLÉGICO E AGUARDA ALTA PARA REENCONTRAR FAMÍLIA</t>
        </is>
      </c>
      <c r="I515" t="inlineStr">
        <is>
          <t>JACQUENUE BOSQUET, DE 36 ANOS, PASSOU POR UMA CIRURGIA NO DIA 30 DE JULHO NO PRONTO-SOCORRO DE RIO BRANCO, MAS PERDEU OS MOVIMENTOS DA PERNA.</t>
        </is>
      </c>
      <c r="J515">
        <f>HYPERLINK("https://g1.globo.com/ac/acre/noticia/2021/08/06/haitiano-obrigado-a-se-jogar-de-ponte-no-acre-fica-paraplegico-e-aguarda-alta-para-reencontrar-familia.ghtml", "URL")</f>
        <v/>
      </c>
      <c r="K515">
        <f>HYPERLINK("https://raw.githubusercontent.com/marcosmapl/dataset_imigrantes/main/noticias_filtered/g1/haitianos/2021/07_ago/html/g1_1e269f54-22ed-11ed-b24f-6dbe51e79fca_1679.html", "HTML")</f>
        <v/>
      </c>
      <c r="L515">
        <f>HYPERLINK("https://raw.githubusercontent.com/marcosmapl/dataset_imigrantes/main/noticias_filtered/g1/haitianos/2021/07_ago/txt/g1_1e269f54-22ed-11ed-b24f-6dbe51e79fca_1679.txt", "TXT")</f>
        <v/>
      </c>
    </row>
    <row r="516">
      <c r="A516" s="1" t="n">
        <v>514</v>
      </c>
      <c r="B516" t="n">
        <v>2021</v>
      </c>
      <c r="C516" s="2" t="n">
        <v>44414.60972222222</v>
      </c>
      <c r="D516" t="inlineStr">
        <is>
          <t>PORTAL AMAZONIA</t>
        </is>
      </c>
      <c r="E516" t="inlineStr">
        <is>
          <t>VENEZUELANOS</t>
        </is>
      </c>
      <c r="F516" t="inlineStr">
        <is>
          <t>SOCIEDADE 5.0</t>
        </is>
      </c>
      <c r="G516" t="inlineStr">
        <is>
          <t>VITOR KURAHAYASHI - CONTATO@HAYASHICONSULTORIA.COM.BR</t>
        </is>
      </c>
      <c r="H516" t="inlineStr">
        <is>
          <t>ANTIFRAGILIDADE, UM IMPORTANTE DETALHE DAS OLIMPÍADAS QUE NUNCA TE CONTARAM</t>
        </is>
      </c>
      <c r="I516" t="inlineStr">
        <is>
          <t>QUANDO O SUCESSO OU O DESEJO DESENFREADO PELO MESMO SE TORNA A SUA PRINCIPAL FORÇA MOTRIZ, VOCÊ TEM MUITO MAIS A PERDER DO QUE A GANHAR.</t>
        </is>
      </c>
      <c r="J516">
        <f>HYPERLINK("https://portalamazonia.com/colunistas/mundo-corporativo/sociedade-5-0/antifragilidade-um-importante-detalhe-das-olimpiadas-que-nunca-te-contaram", "URL")</f>
        <v/>
      </c>
      <c r="K516">
        <f>HYPERLINK("https://raw.githubusercontent.com/marcosmapl/dataset_imigrantes/main/noticias_filtered/portal_amazonia/venezuelanos/2021/07_ago/html/33466.79727_1401.html", "HTML")</f>
        <v/>
      </c>
      <c r="L516">
        <f>HYPERLINK("https://raw.githubusercontent.com/marcosmapl/dataset_imigrantes/main/noticias_filtered/portal_amazonia/venezuelanos/2021/07_ago/txt/33466.79727_1401.txt", "TXT")</f>
        <v/>
      </c>
    </row>
    <row r="517">
      <c r="A517" s="1" t="n">
        <v>515</v>
      </c>
      <c r="B517" t="n">
        <v>2021</v>
      </c>
      <c r="C517" s="2" t="n">
        <v>44414.60250028935</v>
      </c>
      <c r="D517" t="inlineStr">
        <is>
          <t>G1</t>
        </is>
      </c>
      <c r="E517" t="inlineStr">
        <is>
          <t>VENEZUELANOS</t>
        </is>
      </c>
      <c r="F517" t="inlineStr">
        <is>
          <t>TOCANTINS</t>
        </is>
      </c>
      <c r="G517" t="inlineStr">
        <is>
          <t>G1 TOCANTINS</t>
        </is>
      </c>
      <c r="H517" t="inlineStr">
        <is>
          <t>VENEZUELANOS ABRIGADOS EM ARAGUAÍNA RECEBEM IDENTIFICAÇÃO DE REFUGIADOS E PODEM EMITIR CARTEIRA DE TRABALHO</t>
        </is>
      </c>
      <c r="I517" t="inlineStr">
        <is>
          <t>GRUPO AINDA ESTÁ VIVENDO DE FORMA IMPROVISADA, MAS TEM ESPERANÇA DE DIAS MELHORES COM A EMISSÃO DE DOCUMENTOS.</t>
        </is>
      </c>
      <c r="J517">
        <f>HYPERLINK("https://g1.globo.com/to/tocantins/noticia/2021/08/06/venezuelanos-abrigados-em-araguaina-recebem-identificacao-de-refugiados-e-podem-emitir-carteira-de-trabalho.ghtml", "URL")</f>
        <v/>
      </c>
      <c r="K517">
        <f>HYPERLINK("https://raw.githubusercontent.com/marcosmapl/dataset_imigrantes/main/noticias_filtered/g1/venezuelanos/2021/07_ago/html/g1_6c4d3c5a-2316-11ed-b24f-6dbe51e79fca_3146.html", "HTML")</f>
        <v/>
      </c>
      <c r="L517">
        <f>HYPERLINK("https://raw.githubusercontent.com/marcosmapl/dataset_imigrantes/main/noticias_filtered/g1/venezuelanos/2021/07_ago/txt/g1_6c4d3c5a-2316-11ed-b24f-6dbe51e79fca_3146.txt", "TXT")</f>
        <v/>
      </c>
    </row>
    <row r="518">
      <c r="A518" s="1" t="n">
        <v>516</v>
      </c>
      <c r="B518" t="n">
        <v>2021</v>
      </c>
      <c r="C518" s="2" t="n">
        <v>44413.59958728009</v>
      </c>
      <c r="D518" t="inlineStr">
        <is>
          <t>G1</t>
        </is>
      </c>
      <c r="E518" t="inlineStr">
        <is>
          <t>VENEZUELANOS</t>
        </is>
      </c>
      <c r="F518" t="inlineStr">
        <is>
          <t>RORAIMA</t>
        </is>
      </c>
      <c r="G518" t="inlineStr">
        <is>
          <t>G1 RR — BOA VISTA</t>
        </is>
      </c>
      <c r="H518" t="inlineStr">
        <is>
          <t>VENEZUELANO É ENCONTRADO MORTO E ENROLADO EM COLCHÃO EM ÁREA DE MATA NA ZONA SUL DE BOA VISTA</t>
        </is>
      </c>
      <c r="I518" t="inlineStr">
        <is>
          <t>CORPO DE SERGIO RAFAEL FARIAS RAMOS, DE 23 ANOS, FOI ENCONTRADO POR VOLTA DAS 16H20 DESSA QUARTA-FEIRA (4) EM ÁREA ONDE É CONSTRUÍDO ABRIGO.</t>
        </is>
      </c>
      <c r="J518">
        <f>HYPERLINK("https://g1.globo.com/rr/roraima/noticia/2021/08/05/homem-e-encontrado-morto-e-enrolado-em-colchao-em-area-de-mata-na-zona-sul-de-boa-vista.ghtml", "URL")</f>
        <v/>
      </c>
      <c r="K518">
        <f>HYPERLINK("https://raw.githubusercontent.com/marcosmapl/dataset_imigrantes/main/noticias_filtered/g1/venezuelanos/2021/07_ago/html/g1_880cf38a-2321-11ed-b24f-6dbe51e79fca_3706.html", "HTML")</f>
        <v/>
      </c>
      <c r="L518">
        <f>HYPERLINK("https://raw.githubusercontent.com/marcosmapl/dataset_imigrantes/main/noticias_filtered/g1/venezuelanos/2021/07_ago/txt/g1_880cf38a-2321-11ed-b24f-6dbe51e79fca_3706.txt", "TXT")</f>
        <v/>
      </c>
    </row>
    <row r="519">
      <c r="A519" s="1" t="n">
        <v>517</v>
      </c>
      <c r="B519" t="n">
        <v>2021</v>
      </c>
      <c r="C519" s="2" t="n">
        <v>44413.41718013889</v>
      </c>
      <c r="D519" t="inlineStr">
        <is>
          <t>G1</t>
        </is>
      </c>
      <c r="E519" t="inlineStr">
        <is>
          <t>VENEZUELANOS</t>
        </is>
      </c>
      <c r="F519" t="inlineStr">
        <is>
          <t>RORAIMA</t>
        </is>
      </c>
      <c r="G519" t="inlineStr">
        <is>
          <t>G1 RR — BOA VISTA</t>
        </is>
      </c>
      <c r="H519" t="inlineStr">
        <is>
          <t>MIGRANTES VENEZUELANOS SÃO VACINADOS CONTRA A COVID-19 EM RORAIMA</t>
        </is>
      </c>
      <c r="I519" t="inlineStr">
        <is>
          <t>OPERAÇÃO ACOLHIDA DEVE VACINAR MAIS DE 2 MIL VENEZUELANOS QUE VIVEM EM ABRIGOS.</t>
        </is>
      </c>
      <c r="J519">
        <f>HYPERLINK("https://g1.globo.com/rr/roraima/noticia/2021/08/05/migrantes-venezuelanos-sao-vacinados-contra-a-covid-19-em-roraima.ghtml", "URL")</f>
        <v/>
      </c>
      <c r="K519">
        <f>HYPERLINK("https://raw.githubusercontent.com/marcosmapl/dataset_imigrantes/main/noticias_filtered/g1/venezuelanos/2021/07_ago/html/g1_a0ddcb46-2321-11ed-b24f-6dbe51e79fca_3711.html", "HTML")</f>
        <v/>
      </c>
      <c r="L519">
        <f>HYPERLINK("https://raw.githubusercontent.com/marcosmapl/dataset_imigrantes/main/noticias_filtered/g1/venezuelanos/2021/07_ago/txt/g1_a0ddcb46-2321-11ed-b24f-6dbe51e79fca_3711.txt", "TXT")</f>
        <v/>
      </c>
    </row>
    <row r="520">
      <c r="A520" s="1" t="n">
        <v>518</v>
      </c>
      <c r="B520" t="n">
        <v>2021</v>
      </c>
      <c r="C520" s="2" t="n">
        <v>44411.54760766204</v>
      </c>
      <c r="D520" t="inlineStr">
        <is>
          <t>G1</t>
        </is>
      </c>
      <c r="E520" t="inlineStr">
        <is>
          <t>HAITIANOS</t>
        </is>
      </c>
      <c r="F520" t="inlineStr">
        <is>
          <t>MUNDO</t>
        </is>
      </c>
      <c r="G520" t="inlineStr">
        <is>
          <t>G1</t>
        </is>
      </c>
      <c r="H520" t="inlineStr">
        <is>
          <t>HAITI: JUIZ E OFICIAIS DE JUSTIÇA AFIRMAM QUE INVESTIGAÇÃO DE ASSASSINATO DE PRESIDENTE TEM IRREGULARIDADES E HÁ PRESSÃO PARA MUDAR TESTEMUNHOS</t>
        </is>
      </c>
      <c r="I520" t="inlineStr">
        <is>
          <t>A POLÍCIA TIROU CORPOS DE LUGAR E LEVOU PARTE DO MATERIAL QUE PODERIA SERVIR COMO EVIDÊNCIA NO LOCAL. ALÉM DISSO, IMPEDIU A PRESENÇA DO JUIZ E DOS OFICIAIS NA CENA. ELES ESTÃO SENDO AMEAÇADOS DE MORTE.</t>
        </is>
      </c>
      <c r="J520">
        <f>HYPERLINK("https://g1.globo.com/mundo/noticia/2021/08/03/haiti-juiz-e-oficiais-de-justica-afirmam-que-investigacao-tem-irregularidades-e-ha-pressao-para-mudar-testemunhos.ghtml", "URL")</f>
        <v/>
      </c>
      <c r="K520">
        <f>HYPERLINK("https://raw.githubusercontent.com/marcosmapl/dataset_imigrantes/main/noticias_filtered/g1/haitianos/2021/07_ago/html/g1_b6c12966-2309-11ed-b24f-6dbe51e79fca_2458.html", "HTML")</f>
        <v/>
      </c>
      <c r="L520">
        <f>HYPERLINK("https://raw.githubusercontent.com/marcosmapl/dataset_imigrantes/main/noticias_filtered/g1/haitianos/2021/07_ago/txt/g1_b6c12966-2309-11ed-b24f-6dbe51e79fca_2458.txt", "TXT")</f>
        <v/>
      </c>
    </row>
    <row r="521">
      <c r="A521" s="1" t="n">
        <v>519</v>
      </c>
      <c r="B521" t="n">
        <v>2021</v>
      </c>
      <c r="C521" s="2" t="n">
        <v>44410.83959770833</v>
      </c>
      <c r="D521" t="inlineStr">
        <is>
          <t>G1</t>
        </is>
      </c>
      <c r="E521" t="inlineStr">
        <is>
          <t>VENEZUELANOS</t>
        </is>
      </c>
      <c r="F521" t="inlineStr">
        <is>
          <t>RORAIMA</t>
        </is>
      </c>
      <c r="G521" t="inlineStr">
        <is>
          <t>G1 RR — BOA VISTA</t>
        </is>
      </c>
      <c r="H521" t="inlineStr">
        <is>
          <t>CORPO DE VENEZUELANO É ENCONTRADO ESQUARTEJADO EM TERRENO BALDIO EM BOA VISTA</t>
        </is>
      </c>
      <c r="I521" t="inlineStr">
        <is>
          <t>HOMEM FOI IDENTIFICADO COMO EMILIANO JOSE DIAZ QUEJADA, DE 28 ANOS. BRAÇOS, PERNAS E CABEÇA DA VÍTIMA ESTAVAM EM SACO SEPARADO, INFORMOU A POLÍCIA CIVIL.</t>
        </is>
      </c>
      <c r="J521">
        <f>HYPERLINK("https://g1.globo.com/rr/roraima/noticia/2021/08/02/corpo-de-venezuelano-e-encontrado-esquartejado-em-terreno-baldio-em-boa-vista.ghtml", "URL")</f>
        <v/>
      </c>
      <c r="K521">
        <f>HYPERLINK("https://raw.githubusercontent.com/marcosmapl/dataset_imigrantes/main/noticias_filtered/g1/venezuelanos/2021/07_ago/html/g1_b75deb64-231f-11ed-b24f-6dbe51e79fca_3640.html", "HTML")</f>
        <v/>
      </c>
      <c r="L521">
        <f>HYPERLINK("https://raw.githubusercontent.com/marcosmapl/dataset_imigrantes/main/noticias_filtered/g1/venezuelanos/2021/07_ago/txt/g1_b75deb64-231f-11ed-b24f-6dbe51e79fca_3640.txt", "TXT")</f>
        <v/>
      </c>
    </row>
    <row r="522">
      <c r="A522" s="1" t="n">
        <v>520</v>
      </c>
      <c r="B522" t="n">
        <v>2021</v>
      </c>
      <c r="C522" s="2" t="n">
        <v>44410.47389215278</v>
      </c>
      <c r="D522" t="inlineStr">
        <is>
          <t>G1</t>
        </is>
      </c>
      <c r="E522" t="inlineStr">
        <is>
          <t>VENEZUELANOS</t>
        </is>
      </c>
      <c r="F522" t="inlineStr">
        <is>
          <t>AMAZONAS</t>
        </is>
      </c>
      <c r="G522" t="inlineStr">
        <is>
          <t>PATRICK MARQUES, G1 AM</t>
        </is>
      </c>
      <c r="H522" t="inlineStr">
        <is>
          <t>BANCO DE DADOS REÚNE MAIS DE 600 CURRÍCULOS DE VENEZUELANOS PARA VAGAS DE EMPREGO EM MANAUS</t>
        </is>
      </c>
      <c r="I522" t="inlineStr">
        <is>
          <t>AÇÕES DE EMPREGABILIDADE JÁ POSSIBILITARAM, NESTE ANO, QUE 245 REFUGIADOS FOSSEM INSERIDOS NO MERCADO DE TRABALHO.</t>
        </is>
      </c>
      <c r="J522">
        <f>HYPERLINK("https://g1.globo.com/am/amazonas/noticia/2021/08/02/banco-de-dados-reune-mais-de-600-curriculos-de-venezuelanos-para-vagas-de-emprego-em-manaus.ghtml", "URL")</f>
        <v/>
      </c>
      <c r="K522">
        <f>HYPERLINK("https://raw.githubusercontent.com/marcosmapl/dataset_imigrantes/main/noticias_filtered/g1/venezuelanos/2021/07_ago/html/g1_732acae2-230c-11ed-b24f-6dbe51e79fca_2625.html", "HTML")</f>
        <v/>
      </c>
      <c r="L522">
        <f>HYPERLINK("https://raw.githubusercontent.com/marcosmapl/dataset_imigrantes/main/noticias_filtered/g1/venezuelanos/2021/07_ago/txt/g1_732acae2-230c-11ed-b24f-6dbe51e79fca_2625.txt", "TXT")</f>
        <v/>
      </c>
    </row>
    <row r="523">
      <c r="A523" s="1" t="n">
        <v>521</v>
      </c>
      <c r="B523" t="n">
        <v>2021</v>
      </c>
      <c r="C523" s="2" t="n">
        <v>44409.82700167824</v>
      </c>
      <c r="D523" t="inlineStr">
        <is>
          <t>G1</t>
        </is>
      </c>
      <c r="E523" t="inlineStr">
        <is>
          <t>VENEZUELANOS</t>
        </is>
      </c>
      <c r="F523" t="inlineStr">
        <is>
          <t>RORAIMA</t>
        </is>
      </c>
      <c r="G523" t="inlineStr">
        <is>
          <t>G1 RR — BOA VISTA</t>
        </is>
      </c>
      <c r="H523" t="inlineStr">
        <is>
          <t>VOCÊ VIU? VENEZUELANOS TENTAM REGULARIZAÇÃO, DESVIO DE VACINAS NA TERRA YANOMAMI E MAIS EM RR</t>
        </is>
      </c>
      <c r="I523" t="inlineStr">
        <is>
          <t>VEJA AS NOTÍCIAS MAIS LIDAS NO G1 RORAIMA NO PERÍODO DE 25 A 31 DE JULHO.</t>
        </is>
      </c>
      <c r="J523">
        <f>HYPERLINK("https://g1.globo.com/rr/roraima/noticia/2021/08/01/voce-viu-venezuelanos-tentam-regularizacao-desvio-de-vacinas-na-terra-yanomami-e-mais-em-rr.ghtml", "URL")</f>
        <v/>
      </c>
      <c r="K523">
        <f>HYPERLINK("https://raw.githubusercontent.com/marcosmapl/dataset_imigrantes/main/noticias_filtered/g1/venezuelanos/2021/07_ago/html/g1_f94f2948-231f-11ed-b24f-6dbe51e79fca_3655.html", "HTML")</f>
        <v/>
      </c>
      <c r="L523">
        <f>HYPERLINK("https://raw.githubusercontent.com/marcosmapl/dataset_imigrantes/main/noticias_filtered/g1/venezuelanos/2021/07_ago/txt/g1_f94f2948-231f-11ed-b24f-6dbe51e79fca_3655.txt", "TXT")</f>
        <v/>
      </c>
    </row>
    <row r="524">
      <c r="A524" s="1" t="n">
        <v>522</v>
      </c>
      <c r="B524" t="n">
        <v>2021</v>
      </c>
      <c r="C524" s="2" t="n">
        <v>44409.41713586805</v>
      </c>
      <c r="D524" t="inlineStr">
        <is>
          <t>G1</t>
        </is>
      </c>
      <c r="E524" t="inlineStr">
        <is>
          <t>HAITIANOS</t>
        </is>
      </c>
      <c r="F524" t="inlineStr">
        <is>
          <t>ACRE</t>
        </is>
      </c>
      <c r="G524" t="inlineStr">
        <is>
          <t>G1 AC — RIO BRANCO</t>
        </is>
      </c>
      <c r="H524" t="inlineStr">
        <is>
          <t>VOCÊ VIU? HAITIANO CAI DE PONTE, BEBÊ NASCE COM 'OSSOS DE VIDRO', VACINAÇÃO ADOLESCENTES, FRIAGEM E MAIS</t>
        </is>
      </c>
      <c r="I524" t="inlineStr">
        <is>
          <t>VEJA AS NOTÍCIAS MAIS ACESSADAS DO G1 ACRE NA SEMANA DE 25 A 31 DE JULHO.</t>
        </is>
      </c>
      <c r="J524">
        <f>HYPERLINK("https://g1.globo.com/ac/acre/noticia/2021/08/01/voce-viu-haitiano-cai-de-ponte-bebe-nasce-com-ossos-de-vidro-vacinacao-adolescentes-friagem-e-mais.ghtml", "URL")</f>
        <v/>
      </c>
      <c r="K524">
        <f>HYPERLINK("https://raw.githubusercontent.com/marcosmapl/dataset_imigrantes/main/noticias_filtered/g1/haitianos/2021/07_ago/html/g1_af1d7b04-22f7-11ed-b24f-6dbe51e79fca_2090.html", "HTML")</f>
        <v/>
      </c>
      <c r="L524">
        <f>HYPERLINK("https://raw.githubusercontent.com/marcosmapl/dataset_imigrantes/main/noticias_filtered/g1/haitianos/2021/07_ago/txt/g1_af1d7b04-22f7-11ed-b24f-6dbe51e79fca_2090.txt", "TXT")</f>
        <v/>
      </c>
    </row>
    <row r="525">
      <c r="A525" s="1" t="n">
        <v>523</v>
      </c>
      <c r="B525" t="n">
        <v>2021</v>
      </c>
      <c r="C525" s="2" t="n">
        <v>44407.58451388889</v>
      </c>
      <c r="D525" t="inlineStr">
        <is>
          <t>A CRITICA</t>
        </is>
      </c>
      <c r="E525" t="inlineStr">
        <is>
          <t>VENEZUELANOS</t>
        </is>
      </c>
      <c r="F525" t="inlineStr"/>
      <c r="G525" t="inlineStr">
        <is>
          <t>PORTAL A CRÍTICA</t>
        </is>
      </c>
      <c r="H525" t="inlineStr">
        <is>
          <t>UNICEF E ALDEIAS INFANTIS SOS PROMOVEM EMISSÃO DE CERTIDÃO DE NASCIMENTO PARA FILHOS DE REFUGIADOS E MIGRANTES</t>
        </is>
      </c>
      <c r="I525" t="inlineStr">
        <is>
          <t>O MUTIRÃO OCORRE, NESTE SÁBADO (31/07), PARA CRIANÇAS NASCIDAS NO BRASIL COM PAIS OU RESPONSÁVEIS EM SITUAÇÃO DE REFÚGIO OU MIGRAÇÃO</t>
        </is>
      </c>
      <c r="J525">
        <f>HYPERLINK("https://www.acritica.com/unicef-e-aldeias-infantis-sos-promovem-emiss-o-de-certid-o-de-nascimento-para-filhos-de-refugiados-e-migrantes-1.12563", "URL")</f>
        <v/>
      </c>
      <c r="K525">
        <f>HYPERLINK("https://raw.githubusercontent.com/marcosmapl/dataset_imigrantes/main/noticias_filtered/a_critica/venezuelanos/2021/06_jul/html/1.12563_1045.html", "HTML")</f>
        <v/>
      </c>
      <c r="L525">
        <f>HYPERLINK("https://raw.githubusercontent.com/marcosmapl/dataset_imigrantes/main/noticias_filtered/a_critica/venezuelanos/2021/06_jul/txt/1.12563_1045.txt", "TXT")</f>
        <v/>
      </c>
    </row>
    <row r="526">
      <c r="A526" s="1" t="n">
        <v>524</v>
      </c>
      <c r="B526" t="n">
        <v>2021</v>
      </c>
      <c r="C526" s="2" t="n">
        <v>44404.75087518519</v>
      </c>
      <c r="D526" t="inlineStr">
        <is>
          <t>G1</t>
        </is>
      </c>
      <c r="E526" t="inlineStr">
        <is>
          <t>HAITIANOS</t>
        </is>
      </c>
      <c r="F526" t="inlineStr">
        <is>
          <t>ACRE</t>
        </is>
      </c>
      <c r="G526" t="inlineStr">
        <is>
          <t>IRYÁ RODRIGUES, G1 AC — RIO BRANCO</t>
        </is>
      </c>
      <c r="H526" t="inlineStr">
        <is>
          <t>HAITIANO QUE SE JOGOU DE PONTE NA FRONTEIRA DO PERU COM O AC SEGUE SEM MOVIMENTO DAS PERNAS EM HOSPITAL, DIZ DIREÇÃO</t>
        </is>
      </c>
      <c r="I526" t="inlineStr">
        <is>
          <t>DIREÇÃO DO PRONTO SOCORRO DE RIO BRANCO INFORMOU QUE ELE TEVE FRATURA DA SEGUNDA VÉRTEBRA LOMBAR E ESTÁ SENDO AVALIADO POR NEUROLOGISTA. HOMEM TENTAVA SEGUIR VIAGEM PELO PERU ATÉ O CHILE E DISSE QUE FOI PRESSIONADO POR POLICIAIS PERUANOS A PULAR.</t>
        </is>
      </c>
      <c r="J526">
        <f>HYPERLINK("https://g1.globo.com/ac/acre/noticia/2021/07/27/haitiano-que-se-jogou-de-ponte-na-fronteira-do-peru-com-o-ac-segue-sem-movimento-das-pernas-em-hospital-diz-direcao.ghtml", "URL")</f>
        <v/>
      </c>
      <c r="K526">
        <f>HYPERLINK("https://raw.githubusercontent.com/marcosmapl/dataset_imigrantes/main/noticias_filtered/g1/haitianos/2021/06_jul/html/g1_db345f12-22f9-11ed-b24f-6dbe51e79fca_2188.html", "HTML")</f>
        <v/>
      </c>
      <c r="L526">
        <f>HYPERLINK("https://raw.githubusercontent.com/marcosmapl/dataset_imigrantes/main/noticias_filtered/g1/haitianos/2021/06_jul/txt/g1_db345f12-22f9-11ed-b24f-6dbe51e79fca_2188.txt", "TXT")</f>
        <v/>
      </c>
    </row>
    <row r="527">
      <c r="A527" s="1" t="n">
        <v>525</v>
      </c>
      <c r="B527" t="n">
        <v>2021</v>
      </c>
      <c r="C527" s="2" t="n">
        <v>44404.45746737268</v>
      </c>
      <c r="D527" t="inlineStr">
        <is>
          <t>G1</t>
        </is>
      </c>
      <c r="E527" t="inlineStr">
        <is>
          <t>HAITIANOS</t>
        </is>
      </c>
      <c r="F527" t="inlineStr">
        <is>
          <t>MUNDO</t>
        </is>
      </c>
      <c r="G527" t="inlineStr">
        <is>
          <t>G1</t>
        </is>
      </c>
      <c r="H527" t="inlineStr">
        <is>
          <t>COORDENADOR DE SEGURANÇA DO PRESIDENTE ASSASSINADO É PRESO NO HAITI</t>
        </is>
      </c>
      <c r="I527" t="inlineStr">
        <is>
          <t>O PRESIDENTE JOVENEL MOISE FOI ASSASSINADO EM SUA CASA NO COMEÇO DESTE MÊS.</t>
        </is>
      </c>
      <c r="J527">
        <f>HYPERLINK("https://g1.globo.com/mundo/noticia/2021/07/27/coordenador-de-seguranca-do-presidente-assassinado-e-preso-no-haiti.ghtml", "URL")</f>
        <v/>
      </c>
      <c r="K527">
        <f>HYPERLINK("https://raw.githubusercontent.com/marcosmapl/dataset_imigrantes/main/noticias_filtered/g1/haitianos/2021/06_jul/html/g1_39ad1f34-231d-11ed-b24f-6dbe51e79fca_3490.html", "HTML")</f>
        <v/>
      </c>
      <c r="L527">
        <f>HYPERLINK("https://raw.githubusercontent.com/marcosmapl/dataset_imigrantes/main/noticias_filtered/g1/haitianos/2021/06_jul/txt/g1_39ad1f34-231d-11ed-b24f-6dbe51e79fca_3490.txt", "TXT")</f>
        <v/>
      </c>
    </row>
    <row r="528">
      <c r="A528" s="1" t="n">
        <v>526</v>
      </c>
      <c r="B528" t="n">
        <v>2021</v>
      </c>
      <c r="C528" s="2" t="n">
        <v>44403.89613267361</v>
      </c>
      <c r="D528" t="inlineStr">
        <is>
          <t>G1</t>
        </is>
      </c>
      <c r="E528" t="inlineStr">
        <is>
          <t>HAITIANOS</t>
        </is>
      </c>
      <c r="F528" t="inlineStr">
        <is>
          <t>RIO GRANDE DO SUL</t>
        </is>
      </c>
      <c r="G528" t="inlineStr">
        <is>
          <t>GUSTAVO CHAGAS, G1 RS</t>
        </is>
      </c>
      <c r="H528" t="inlineStr">
        <is>
          <t>GRUPO DE 183 HAITIANOS AUTORIZADOS A VIAJAR PARA O BRASIL SEM VISTOS CHEGA A PORTO ALEGRE</t>
        </is>
      </c>
      <c r="I528" t="inlineStr">
        <is>
          <t>PERMISSÃO FOI DADA PELA JUSTIÇA FEDERAL. IMIGRANTES NÃO CONSEGUIAM OBTER O VISTO NA EMBAIXADA DO BRASIL EM PORTO PRÍNCIPE NEM ACESSAR SITE PARA AGENDAR O ATENDIMENTO NA UNIDADE. ELES IRÃO MORAR COM PARENTES EM CIDADES DO RS E DE OUTROS ESTADOS.</t>
        </is>
      </c>
      <c r="J528">
        <f>HYPERLINK("https://g1.globo.com/rs/rio-grande-do-sul/noticia/2021/07/26/grupo-de-183-haitianos-autorizados-a-viajar-para-o-brasil-sem-vistos-chega-a-porto-alegre.ghtml", "URL")</f>
        <v/>
      </c>
      <c r="K528">
        <f>HYPERLINK("https://raw.githubusercontent.com/marcosmapl/dataset_imigrantes/main/noticias_filtered/g1/haitianos/2021/06_jul/html/g1_64c74e88-22f5-11ed-b24f-6dbe51e79fca_1946.html", "HTML")</f>
        <v/>
      </c>
      <c r="L528">
        <f>HYPERLINK("https://raw.githubusercontent.com/marcosmapl/dataset_imigrantes/main/noticias_filtered/g1/haitianos/2021/06_jul/txt/g1_64c74e88-22f5-11ed-b24f-6dbe51e79fca_1946.txt", "TXT")</f>
        <v/>
      </c>
    </row>
    <row r="529">
      <c r="A529" s="1" t="n">
        <v>527</v>
      </c>
      <c r="B529" t="n">
        <v>2021</v>
      </c>
      <c r="C529" s="2" t="n">
        <v>44403.70061342593</v>
      </c>
      <c r="D529" t="inlineStr">
        <is>
          <t>A CRITICA</t>
        </is>
      </c>
      <c r="E529" t="inlineStr">
        <is>
          <t>VENEZUELANOS</t>
        </is>
      </c>
      <c r="F529" t="inlineStr">
        <is>
          <t>POLICIA</t>
        </is>
      </c>
      <c r="G529" t="inlineStr">
        <is>
          <t>LUCAS VASCONCELOS</t>
        </is>
      </c>
      <c r="H529" t="inlineStr">
        <is>
          <t>DISCUSSÃO ENTRE VENEZUELANAS TERMINA EM MORTE NO ALVORADA</t>
        </is>
      </c>
      <c r="I529" t="inlineStr">
        <is>
          <t>A SUSPEITA FOI PRESA EM FLAGRANTE PELO CRIME DE HOMICÍDIO</t>
        </is>
      </c>
      <c r="J529">
        <f>HYPERLINK("https://www.acritica.com/policia/discuss-o-entre-venezuelanas-termina-em-morte-no-alvorada-1.12820", "URL")</f>
        <v/>
      </c>
      <c r="K529">
        <f>HYPERLINK("https://raw.githubusercontent.com/marcosmapl/dataset_imigrantes/main/noticias_filtered/a_critica/venezuelanos/2021/06_jul/html/1.12820_1150.html", "HTML")</f>
        <v/>
      </c>
      <c r="L529">
        <f>HYPERLINK("https://raw.githubusercontent.com/marcosmapl/dataset_imigrantes/main/noticias_filtered/a_critica/venezuelanos/2021/06_jul/txt/1.12820_1150.txt", "TXT")</f>
        <v/>
      </c>
    </row>
    <row r="530">
      <c r="A530" s="1" t="n">
        <v>528</v>
      </c>
      <c r="B530" t="n">
        <v>2021</v>
      </c>
      <c r="C530" s="2" t="n">
        <v>44403.56530609954</v>
      </c>
      <c r="D530" t="inlineStr">
        <is>
          <t>G1</t>
        </is>
      </c>
      <c r="E530" t="inlineStr">
        <is>
          <t>HAITIANOS</t>
        </is>
      </c>
      <c r="F530" t="inlineStr">
        <is>
          <t>ACRE</t>
        </is>
      </c>
      <c r="G530" t="inlineStr">
        <is>
          <t>IRYÁ RODRIGUES, G1 AC — RIO BRANCO</t>
        </is>
      </c>
      <c r="H530" t="inlineStr">
        <is>
          <t>HAITIANO É SOCORRIDO APÓS 10 DIAS EM MATA E DIZ QUE FOI OBRIGADO A SE JOGAR DE PONTE NA FRONTEIRA DO PERU COM O ACRE</t>
        </is>
      </c>
      <c r="I530" t="inlineStr">
        <is>
          <t>HOMEM TENTAVA SEGUIR VIAGEM PELO PERU ATÉ O CHILE. ELE CONTOU À ASSISTÊNCIA SOCIAL DE ASSIS BRASIL QUE FOI LEVADO ATÉ A PONTE POR POLICIAIS PERUANOS QUE O TERIAM PRESSIONADO PARA PULAR. RESGATE FOI FEITO NESSE SÁBADO (24) POR BOMBEIROS.</t>
        </is>
      </c>
      <c r="J530">
        <f>HYPERLINK("https://g1.globo.com/ac/acre/noticia/2021/07/26/haitiano-e-socorrido-apos-10-dias-em-mata-e-diz-que-foi-obrigado-a-se-jogar-de-ponte-na-fronteira-do-ac-com-o-peru.ghtml", "URL")</f>
        <v/>
      </c>
      <c r="K530">
        <f>HYPERLINK("https://raw.githubusercontent.com/marcosmapl/dataset_imigrantes/main/noticias_filtered/g1/haitianos/2021/06_jul/html/g1_aea2341e-22f5-11ed-b24f-6dbe51e79fca_1966.html", "HTML")</f>
        <v/>
      </c>
      <c r="L530">
        <f>HYPERLINK("https://raw.githubusercontent.com/marcosmapl/dataset_imigrantes/main/noticias_filtered/g1/haitianos/2021/06_jul/txt/g1_aea2341e-22f5-11ed-b24f-6dbe51e79fca_1966.txt", "TXT")</f>
        <v/>
      </c>
    </row>
    <row r="531">
      <c r="A531" s="1" t="n">
        <v>529</v>
      </c>
      <c r="B531" t="n">
        <v>2021</v>
      </c>
      <c r="C531" s="2" t="n">
        <v>44403.49858703704</v>
      </c>
      <c r="D531" t="inlineStr">
        <is>
          <t>G1</t>
        </is>
      </c>
      <c r="E531" t="inlineStr">
        <is>
          <t>VENEZUELANOS</t>
        </is>
      </c>
      <c r="F531" t="inlineStr">
        <is>
          <t>AMAZONAS</t>
        </is>
      </c>
      <c r="G531" t="inlineStr">
        <is>
          <t>MATHEUS CASTRO, G1 AM</t>
        </is>
      </c>
      <c r="H531" t="inlineStr">
        <is>
          <t>VENEZUELANA MORRE APÓS SER ESFAQUEADA POR VIZINHA EM MANAUS</t>
        </is>
      </c>
      <c r="I531" t="inlineStr">
        <is>
          <t>AS DUAS MORAVAM EM QUITINETES, NO BAIRRO ALVORADA. FAMILIARES TENTARAM SOCORRER A VÍTIMA, MAS ELA NÃO RESISTIU.</t>
        </is>
      </c>
      <c r="J531">
        <f>HYPERLINK("https://g1.globo.com/am/amazonas/noticia/2021/07/26/venezuelana-morre-apos-ser-esfaqueada-por-vizinha-em-manaus.ghtml", "URL")</f>
        <v/>
      </c>
      <c r="K531">
        <f>HYPERLINK("https://raw.githubusercontent.com/marcosmapl/dataset_imigrantes/main/noticias_filtered/g1/venezuelanos/2021/06_jul/html/g1_d2398700-2323-11ed-b24f-6dbe51e79fca_3830.html", "HTML")</f>
        <v/>
      </c>
      <c r="L531">
        <f>HYPERLINK("https://raw.githubusercontent.com/marcosmapl/dataset_imigrantes/main/noticias_filtered/g1/venezuelanos/2021/06_jul/txt/g1_d2398700-2323-11ed-b24f-6dbe51e79fca_3830.txt", "TXT")</f>
        <v/>
      </c>
    </row>
    <row r="532">
      <c r="A532" s="1" t="n">
        <v>530</v>
      </c>
      <c r="B532" t="n">
        <v>2021</v>
      </c>
      <c r="C532" s="2" t="n">
        <v>44403.00034666667</v>
      </c>
      <c r="D532" t="inlineStr">
        <is>
          <t>G1</t>
        </is>
      </c>
      <c r="E532" t="inlineStr">
        <is>
          <t>VENEZUELANOS</t>
        </is>
      </c>
      <c r="F532" t="inlineStr">
        <is>
          <t>RORAIMA</t>
        </is>
      </c>
      <c r="G532" t="inlineStr">
        <is>
          <t>CAÍQUE RODRIGUES, G1 RR — BOA VISTA</t>
        </is>
      </c>
      <c r="H532" t="inlineStr">
        <is>
          <t>VENEZUELANOS PASSAM NOITE NAS RUAS E ENFRENTAM LONGAS FILAS POR REGULARIZAÇÃO NO BRASIL; FOTOS</t>
        </is>
      </c>
      <c r="I532" t="inlineStr">
        <is>
          <t>HÁ UM MÊS, O GOVERNO FEDERAL FLEXIBILIZOU A ENTRADA DA FRONTEIRA ENTRE O BRASIL E A VENEZUELA NA CIDADE DE PACARAINA, EM RORAIMA. VENEZUELANOS CHEGANDO AO PAÍS POR ROTAS CLANDESTINAS OU OFICIAIS.</t>
        </is>
      </c>
      <c r="J532">
        <f>HYPERLINK("https://g1.globo.com/rr/roraima/noticia/2021/07/25/venezuelanos-passam-noite-nas-ruas-e-enfrentam-longas-filas-por-regularizacao-no-brasil-fotos.ghtml", "URL")</f>
        <v/>
      </c>
      <c r="K532">
        <f>HYPERLINK("https://raw.githubusercontent.com/marcosmapl/dataset_imigrantes/main/noticias_filtered/g1/venezuelanos/2021/06_jul/html/g1_2e17d23a-231e-11ed-b24f-6dbe51e79fca_3546.html", "HTML")</f>
        <v/>
      </c>
      <c r="L532">
        <f>HYPERLINK("https://raw.githubusercontent.com/marcosmapl/dataset_imigrantes/main/noticias_filtered/g1/venezuelanos/2021/06_jul/txt/g1_2e17d23a-231e-11ed-b24f-6dbe51e79fca_3546.txt", "TXT")</f>
        <v/>
      </c>
    </row>
    <row r="533">
      <c r="A533" s="1" t="n">
        <v>531</v>
      </c>
      <c r="B533" t="n">
        <v>2021</v>
      </c>
      <c r="C533" s="2" t="n">
        <v>44402.97404328704</v>
      </c>
      <c r="D533" t="inlineStr">
        <is>
          <t>G1</t>
        </is>
      </c>
      <c r="E533" t="inlineStr">
        <is>
          <t>VENEZUELANOS</t>
        </is>
      </c>
      <c r="F533" t="inlineStr">
        <is>
          <t>RORAIMA</t>
        </is>
      </c>
      <c r="G533" t="inlineStr">
        <is>
          <t>CAÍQUE RODRIGUES, G1 RR — BOA VISTA</t>
        </is>
      </c>
      <c r="H533" t="inlineStr">
        <is>
          <t>VENEZUELANOS PASSAM NOITE NAS RUAS E ENFRENTAM LONGAS FILAS POR REGULARIZAÇÃO NO BRASIL</t>
        </is>
      </c>
      <c r="I533" t="inlineStr">
        <is>
          <t>HÁ UM MÊS, O GOVERNO FEDERAL FLEXIBILIZOU A ENTRADA DA FRONTEIRA ENTRE O BRASIL E A VENEZUELA NA CIDADE DE PACARAINA, EM RORAIMA. O FOCO É ATENDER OS IMIGRANTES VENEZUELANOS EM MAIOR SITUAÇÃO DE VULNERABILIDADE, QUE CONTINUAM A CHEGAR TANTO PELAS FRONTEIRAS OFICIAIS QUANTO POR ROTAS CLANDESTINAS.</t>
        </is>
      </c>
      <c r="J533">
        <f>HYPERLINK("https://g1.globo.com/rr/roraima/noticia/2021/07/25/venezuelanos-passam-noite-nas-ruas-e-enfrentam-longas-filas-por-regularizacao-no-brasil-desastroso.ghtml", "URL")</f>
        <v/>
      </c>
      <c r="K533">
        <f>HYPERLINK("https://raw.githubusercontent.com/marcosmapl/dataset_imigrantes/main/noticias_filtered/g1/venezuelanos/2021/06_jul/html/g1_4bf73c2a-2326-11ed-b24f-6dbe51e79fca_3967.html", "HTML")</f>
        <v/>
      </c>
      <c r="L533">
        <f>HYPERLINK("https://raw.githubusercontent.com/marcosmapl/dataset_imigrantes/main/noticias_filtered/g1/venezuelanos/2021/06_jul/txt/g1_4bf73c2a-2326-11ed-b24f-6dbe51e79fca_3967.txt", "TXT")</f>
        <v/>
      </c>
    </row>
    <row r="534">
      <c r="A534" s="1" t="n">
        <v>532</v>
      </c>
      <c r="B534" t="n">
        <v>2021</v>
      </c>
      <c r="C534" s="2" t="n">
        <v>44400.97605362268</v>
      </c>
      <c r="D534" t="inlineStr">
        <is>
          <t>G1</t>
        </is>
      </c>
      <c r="E534" t="inlineStr">
        <is>
          <t>VENEZUELANOS</t>
        </is>
      </c>
      <c r="F534" t="inlineStr">
        <is>
          <t>AMAPÁ</t>
        </is>
      </c>
      <c r="G534" t="inlineStr">
        <is>
          <t>NÚBIA PACHECO, G1 AP — MACAPÁ</t>
        </is>
      </c>
      <c r="H534" t="inlineStr">
        <is>
          <t>PROCURADO POR TRÁFICO DE DROGAS É PRESO COM CRACK E DINHEIRO VENEZUELANO NO SUL DO AMAPÁ</t>
        </is>
      </c>
      <c r="I534" t="inlineStr">
        <is>
          <t>FLAGRANTE OCORREU EM VITÓRIA DO JARI. INVESTIGADO SERÁ ENCAMINHADO PRA O IAPEN.</t>
        </is>
      </c>
      <c r="J534">
        <f>HYPERLINK("https://g1.globo.com/ap/amapa/noticia/2021/07/23/procurado-por-trafico-de-drogas-e-preso-com-crack-e-dinheiro-venezuelano-no-sul-do-amapa.ghtml", "URL")</f>
        <v/>
      </c>
      <c r="K534">
        <f>HYPERLINK("https://raw.githubusercontent.com/marcosmapl/dataset_imigrantes/main/noticias_filtered/g1/venezuelanos/2021/06_jul/html/g1_cd6cd8fe-232c-11ed-b24f-6dbe51e79fca_4326.html", "HTML")</f>
        <v/>
      </c>
      <c r="L534">
        <f>HYPERLINK("https://raw.githubusercontent.com/marcosmapl/dataset_imigrantes/main/noticias_filtered/g1/venezuelanos/2021/06_jul/txt/g1_cd6cd8fe-232c-11ed-b24f-6dbe51e79fca_4326.txt", "TXT")</f>
        <v/>
      </c>
    </row>
    <row r="535">
      <c r="A535" s="1" t="n">
        <v>533</v>
      </c>
      <c r="B535" t="n">
        <v>2021</v>
      </c>
      <c r="C535" s="2" t="n">
        <v>44399.99513888889</v>
      </c>
      <c r="D535" t="inlineStr">
        <is>
          <t>A CRITICA</t>
        </is>
      </c>
      <c r="E535" t="inlineStr">
        <is>
          <t>VENEZUELANOS</t>
        </is>
      </c>
      <c r="F535" t="inlineStr"/>
      <c r="G535" t="inlineStr">
        <is>
          <t>PORTAL A CRÍTICA</t>
        </is>
      </c>
      <c r="H535" t="inlineStr">
        <is>
          <t>SEJUSC INICIA CAMPANHA CORAÇÃO AZUL COM EXIBIÇÃO DE DOCUMENTÁRIO SOBRE O TRÁFICO DE PESSOAS</t>
        </is>
      </c>
      <c r="I535" t="inlineStr">
        <is>
          <t>PROGRAMAÇÃO ENCERRA NO DIA 30 DE JULHO, COM ILUMINAÇÃO DO TEATRO AMAZONAS</t>
        </is>
      </c>
      <c r="J535">
        <f>HYPERLINK("https://www.acritica.com/sejusc-inicia-campanha-corac-o-azul-com-exibic-o-de-documentario-sobre-o-trafico-de-pessoas-1.12962", "URL")</f>
        <v/>
      </c>
      <c r="K535">
        <f>HYPERLINK("https://raw.githubusercontent.com/marcosmapl/dataset_imigrantes/main/noticias_filtered/a_critica/venezuelanos/2021/06_jul/html/1.12962_1153.html", "HTML")</f>
        <v/>
      </c>
      <c r="L535">
        <f>HYPERLINK("https://raw.githubusercontent.com/marcosmapl/dataset_imigrantes/main/noticias_filtered/a_critica/venezuelanos/2021/06_jul/txt/1.12962_1153.txt", "TXT")</f>
        <v/>
      </c>
    </row>
    <row r="536">
      <c r="A536" s="1" t="n">
        <v>534</v>
      </c>
      <c r="B536" t="n">
        <v>2021</v>
      </c>
      <c r="C536" s="2" t="n">
        <v>44398.88390405093</v>
      </c>
      <c r="D536" t="inlineStr">
        <is>
          <t>G1</t>
        </is>
      </c>
      <c r="E536" t="inlineStr">
        <is>
          <t>HAITIANOS</t>
        </is>
      </c>
      <c r="F536" t="inlineStr">
        <is>
          <t>RORAIMA</t>
        </is>
      </c>
      <c r="G536" t="inlineStr">
        <is>
          <t>G1 RR — BOA VISTA</t>
        </is>
      </c>
      <c r="H536" t="inlineStr">
        <is>
          <t>HOMEM É PRESO APÓS RECEBER EM DÓLAR PARA TRANSPORTAR ATÉ BOA VISTA HAITIANOS QUE CHEGARAM NO BRASIL PELA GUIANA</t>
        </is>
      </c>
      <c r="I536" t="inlineStr">
        <is>
          <t>POLÍCIA RODOVIÁRIA FEDERAL ABORDOU CARRO NA BR-401.</t>
        </is>
      </c>
      <c r="J536">
        <f>HYPERLINK("https://g1.globo.com/rr/roraima/noticia/2021/07/21/homem-e-preso-apos-receber-em-dolar-para-transportar-ate-boa-vista-haitianos-que-chegaram-no-brasil-pela-guiana.ghtml", "URL")</f>
        <v/>
      </c>
      <c r="K536">
        <f>HYPERLINK("https://raw.githubusercontent.com/marcosmapl/dataset_imigrantes/main/noticias_filtered/g1/haitianos/2021/06_jul/html/g1_6beb18d2-22f7-11ed-b24f-6dbe51e79fca_2078.html", "HTML")</f>
        <v/>
      </c>
      <c r="L536">
        <f>HYPERLINK("https://raw.githubusercontent.com/marcosmapl/dataset_imigrantes/main/noticias_filtered/g1/haitianos/2021/06_jul/txt/g1_6beb18d2-22f7-11ed-b24f-6dbe51e79fca_2078.txt", "TXT")</f>
        <v/>
      </c>
    </row>
    <row r="537">
      <c r="A537" s="1" t="n">
        <v>535</v>
      </c>
      <c r="B537" t="n">
        <v>2021</v>
      </c>
      <c r="C537" s="2" t="n">
        <v>44397.76842090278</v>
      </c>
      <c r="D537" t="inlineStr">
        <is>
          <t>G1</t>
        </is>
      </c>
      <c r="E537" t="inlineStr">
        <is>
          <t>HAITIANOS</t>
        </is>
      </c>
      <c r="F537" t="inlineStr">
        <is>
          <t>MUNDO</t>
        </is>
      </c>
      <c r="G537" t="inlineStr">
        <is>
          <t>FRANCE PRESSE</t>
        </is>
      </c>
      <c r="H537" t="inlineStr">
        <is>
          <t>NOVO PREMIÊ DO HAITI PEDE POR 'UNIDADE NACIONAL' AO ASSUMIR GOVERNO APÓS MORTE DO PRESIDENTE</t>
        </is>
      </c>
      <c r="I537" t="inlineStr">
        <is>
          <t>ARIEL HENRY SUBSTITUI O INTERINO CLAUDE JOSEPH, QUE ANUNCIOU SUA SAÍDA NA VÉSPERA. POLÍTICO DE 71 ANOS HAVIA SIDO INDICADO PARA O CARGO PELO PRESIDENTE JOVENEL MOÏSE DIAS ANTES DE SEU ASSASSINATO.</t>
        </is>
      </c>
      <c r="J537">
        <f>HYPERLINK("https://g1.globo.com/mundo/noticia/2021/07/20/novo-premie-do-haiti-pede-por-unidade-nacional-ao-assumir-governo-apos-morte-do-presidente.ghtml", "URL")</f>
        <v/>
      </c>
      <c r="K537">
        <f>HYPERLINK("https://raw.githubusercontent.com/marcosmapl/dataset_imigrantes/main/noticias_filtered/g1/haitianos/2021/06_jul/html/g1_d78fdbba-2313-11ed-b24f-6dbe51e79fca_3029.html", "HTML")</f>
        <v/>
      </c>
      <c r="L537">
        <f>HYPERLINK("https://raw.githubusercontent.com/marcosmapl/dataset_imigrantes/main/noticias_filtered/g1/haitianos/2021/06_jul/txt/g1_d78fdbba-2313-11ed-b24f-6dbe51e79fca_3029.txt", "TXT")</f>
        <v/>
      </c>
    </row>
    <row r="538">
      <c r="A538" s="1" t="n">
        <v>536</v>
      </c>
      <c r="B538" t="n">
        <v>2021</v>
      </c>
      <c r="C538" s="2" t="n">
        <v>44396.78915216435</v>
      </c>
      <c r="D538" t="inlineStr">
        <is>
          <t>G1</t>
        </is>
      </c>
      <c r="E538" t="inlineStr">
        <is>
          <t>VENEZUELANOS</t>
        </is>
      </c>
      <c r="F538" t="inlineStr">
        <is>
          <t>RORAIMA</t>
        </is>
      </c>
      <c r="G538" t="inlineStr">
        <is>
          <t>G1 RR — BOA VISTA</t>
        </is>
      </c>
      <c r="H538" t="inlineStr">
        <is>
          <t>POLÍCIA FAZ BUSCAS POR MENINA DE 5 ANOS QUE DESAPARECEU ENQUANTO ESTAVA COM AVÓ EM HOSPITAL DE RR</t>
        </is>
      </c>
      <c r="I538" t="inlineStr">
        <is>
          <t>A SUSPEITA É QUE A MENINA VENEZUELANA KARLESKA KATYSKA ANDRINNIS DIAZ MARINEZ FOI LEVADA DO HGR POR UM AMIGO DA FAMÍLIA, SEGUNDO A POLÍCIA CIVIL. CASO ACONTECEU NESTE DOMINGO (18).</t>
        </is>
      </c>
      <c r="J538">
        <f>HYPERLINK("https://g1.globo.com/rr/roraima/noticia/2021/07/19/policia-faz-buscas-por-menina-de-5-anos-que-desapareceu-enquanto-estava-com-avo-em-hospital-de-rr.ghtml", "URL")</f>
        <v/>
      </c>
      <c r="K538">
        <f>HYPERLINK("https://raw.githubusercontent.com/marcosmapl/dataset_imigrantes/main/noticias_filtered/g1/venezuelanos/2021/06_jul/html/g1_5cc8ea2a-2322-11ed-b24f-6dbe51e79fca_3748.html", "HTML")</f>
        <v/>
      </c>
      <c r="L538">
        <f>HYPERLINK("https://raw.githubusercontent.com/marcosmapl/dataset_imigrantes/main/noticias_filtered/g1/venezuelanos/2021/06_jul/txt/g1_5cc8ea2a-2322-11ed-b24f-6dbe51e79fca_3748.txt", "TXT")</f>
        <v/>
      </c>
    </row>
    <row r="539">
      <c r="A539" s="1" t="n">
        <v>537</v>
      </c>
      <c r="B539" t="n">
        <v>2021</v>
      </c>
      <c r="C539" s="2" t="n">
        <v>44396.63552936343</v>
      </c>
      <c r="D539" t="inlineStr">
        <is>
          <t>G1</t>
        </is>
      </c>
      <c r="E539" t="inlineStr">
        <is>
          <t>HAITIANOS</t>
        </is>
      </c>
      <c r="F539" t="inlineStr">
        <is>
          <t>MUNDO</t>
        </is>
      </c>
      <c r="G539" t="inlineStr">
        <is>
          <t>G1</t>
        </is>
      </c>
      <c r="H539" t="inlineStr">
        <is>
          <t>PREMIÊ INTERINO DO HAITI, CLAUDE JOSEPH, DIZ QUE DEIXARÁ O CARGO</t>
        </is>
      </c>
      <c r="I539" t="inlineStr">
        <is>
          <t>JOSEPH FICOU À FRENTE DO PAÍS APÓS A MORTE DO PRESIDENTE JOVENEL MOÏSE, NO INÍCIO DO MÊS. O CARGO DE PRIMEIRO-MINISTRO DEVERÁ SER OCUPADO POR ARIEL HENRY A PARTIR DE TERÇA-FEIRA (19).</t>
        </is>
      </c>
      <c r="J539">
        <f>HYPERLINK("https://g1.globo.com/mundo/noticia/2021/07/19/premie-interino-do-haiti-claude-joseph-diz-que-deixara-o-cargo.ghtml", "URL")</f>
        <v/>
      </c>
      <c r="K539">
        <f>HYPERLINK("https://raw.githubusercontent.com/marcosmapl/dataset_imigrantes/main/noticias_filtered/g1/haitianos/2021/06_jul/html/g1_032ee174-2307-11ed-b24f-6dbe51e79fca_2291.html", "HTML")</f>
        <v/>
      </c>
      <c r="L539">
        <f>HYPERLINK("https://raw.githubusercontent.com/marcosmapl/dataset_imigrantes/main/noticias_filtered/g1/haitianos/2021/06_jul/txt/g1_032ee174-2307-11ed-b24f-6dbe51e79fca_2291.txt", "TXT")</f>
        <v/>
      </c>
    </row>
    <row r="540">
      <c r="A540" s="1" t="n">
        <v>538</v>
      </c>
      <c r="B540" t="n">
        <v>2021</v>
      </c>
      <c r="C540" s="2" t="n">
        <v>44396.5526200463</v>
      </c>
      <c r="D540" t="inlineStr">
        <is>
          <t>G1</t>
        </is>
      </c>
      <c r="E540" t="inlineStr">
        <is>
          <t>HAITIANOS</t>
        </is>
      </c>
      <c r="F540" t="inlineStr">
        <is>
          <t>SANTA CATARINA</t>
        </is>
      </c>
      <c r="G540" t="inlineStr">
        <is>
          <t>CAROLINE BORGES, G1 SC</t>
        </is>
      </c>
      <c r="H540" t="inlineStr">
        <is>
          <t>POLÍCIA CIVIL INVESTIGA AGRESSÃO A FUNCIONÁRIO HAITIANO DENTRO DE FRIGORÍFICO DE SC</t>
        </is>
      </c>
      <c r="I540" t="inlineStr">
        <is>
          <t>VÍDEO QUE MOSTRA O HOMEM SENDO IMOBILIZADO POR SEGURANÇAS DA EMPRESA DE CHAPECÓ, NO OESTE DE SANTA CATARINA, CIRCULOU NAS REDES SOCIAIS NA ÚLTIMA SEMANA.</t>
        </is>
      </c>
      <c r="J540">
        <f>HYPERLINK("https://g1.globo.com/sc/santa-catarina/noticia/2021/07/19/policia-civil-investiga-agressao-a-funcionario-haitiano-dentro-de-frigorifico-de-sc.ghtml", "URL")</f>
        <v/>
      </c>
      <c r="K540">
        <f>HYPERLINK("https://raw.githubusercontent.com/marcosmapl/dataset_imigrantes/main/noticias_filtered/g1/haitianos/2021/06_jul/html/g1_560685d0-22f5-11ed-b24f-6dbe51e79fca_1943.html", "HTML")</f>
        <v/>
      </c>
      <c r="L540">
        <f>HYPERLINK("https://raw.githubusercontent.com/marcosmapl/dataset_imigrantes/main/noticias_filtered/g1/haitianos/2021/06_jul/txt/g1_560685d0-22f5-11ed-b24f-6dbe51e79fca_1943.txt", "TXT")</f>
        <v/>
      </c>
    </row>
    <row r="541">
      <c r="A541" s="1" t="n">
        <v>539</v>
      </c>
      <c r="B541" t="n">
        <v>2021</v>
      </c>
      <c r="C541" s="2" t="n">
        <v>44394.89553734953</v>
      </c>
      <c r="D541" t="inlineStr">
        <is>
          <t>G1</t>
        </is>
      </c>
      <c r="E541" t="inlineStr">
        <is>
          <t>HAITIANOS</t>
        </is>
      </c>
      <c r="F541" t="inlineStr">
        <is>
          <t>MUNDO</t>
        </is>
      </c>
      <c r="G541" t="inlineStr">
        <is>
          <t>G1</t>
        </is>
      </c>
      <c r="H541" t="inlineStr">
        <is>
          <t>VIÚVA DE PRESIDENTE JOVENEL MOISE RETORNA AO HAITI APÓS SE RECUPERAR EM HOSPITAL NOS EUA</t>
        </is>
      </c>
      <c r="I541" t="inlineStr">
        <is>
          <t>MARTINE MOISE EMITIU UMA DECLARAÇÃO GRAVADA EM CRIOULO ACUSANDO OS INIMIGOS DE SEU MARIDO DE QUERER “MATAR SEU SONHO, SUA VISÃO, SUA IDEOLOGIA”. ELA FICOU FERIDA DURANTE ATAQUE NO QUAL PRESIDENTE FOI MORTO, EM 7 DE JULHO.</t>
        </is>
      </c>
      <c r="J541">
        <f>HYPERLINK("https://g1.globo.com/mundo/noticia/2021/07/17/viuva-de-presidente-jovenel-moise-retorna-ao-haiti-apos-se-recuperar-em-hospital-nos-eua.ghtml", "URL")</f>
        <v/>
      </c>
      <c r="K541">
        <f>HYPERLINK("https://raw.githubusercontent.com/marcosmapl/dataset_imigrantes/main/noticias_filtered/g1/haitianos/2021/06_jul/html/g1_201008c6-2326-11ed-b24f-6dbe51e79fca_3956.html", "HTML")</f>
        <v/>
      </c>
      <c r="L541">
        <f>HYPERLINK("https://raw.githubusercontent.com/marcosmapl/dataset_imigrantes/main/noticias_filtered/g1/haitianos/2021/06_jul/txt/g1_201008c6-2326-11ed-b24f-6dbe51e79fca_3956.txt", "TXT")</f>
        <v/>
      </c>
    </row>
    <row r="542">
      <c r="A542" s="1" t="n">
        <v>540</v>
      </c>
      <c r="B542" t="n">
        <v>2021</v>
      </c>
      <c r="C542" s="2" t="n">
        <v>44394.64315520833</v>
      </c>
      <c r="D542" t="inlineStr">
        <is>
          <t>G1</t>
        </is>
      </c>
      <c r="E542" t="inlineStr">
        <is>
          <t>VENEZUELANOS</t>
        </is>
      </c>
      <c r="F542" t="inlineStr">
        <is>
          <t>SANTARÉM E REGIÃO</t>
        </is>
      </c>
      <c r="G542" t="inlineStr">
        <is>
          <t>G1 SANTARÉM — PA</t>
        </is>
      </c>
      <c r="H542" t="inlineStr">
        <is>
          <t>JOVEM É DETIDO APÓS FURTAR BICICLETA DE VENEZUELANO EM PRAÇA EM SANTARÉM</t>
        </is>
      </c>
      <c r="I542" t="inlineStr">
        <is>
          <t>FURTO TERIA OCORRIDO NA MANHÃ DESTE SÁBADO (17). CASO FOI REGISTRADO NA 16ª SECCIONAL DE POLÍCIA CIVIL.</t>
        </is>
      </c>
      <c r="J542">
        <f>HYPERLINK("https://g1.globo.com/pa/santarem-regiao/noticia/2021/07/17/jovem-e-detido-apos-furtar-bicicleta-de-venezuelano-em-praca-em-santarem.ghtml", "URL")</f>
        <v/>
      </c>
      <c r="K542">
        <f>HYPERLINK("https://raw.githubusercontent.com/marcosmapl/dataset_imigrantes/main/noticias_filtered/g1/venezuelanos/2021/06_jul/html/g1_73d29c5c-2322-11ed-b24f-6dbe51e79fca_3753.html", "HTML")</f>
        <v/>
      </c>
      <c r="L542">
        <f>HYPERLINK("https://raw.githubusercontent.com/marcosmapl/dataset_imigrantes/main/noticias_filtered/g1/venezuelanos/2021/06_jul/txt/g1_73d29c5c-2322-11ed-b24f-6dbe51e79fca_3753.txt", "TXT")</f>
        <v/>
      </c>
    </row>
    <row r="543">
      <c r="A543" s="1" t="n">
        <v>541</v>
      </c>
      <c r="B543" t="n">
        <v>2021</v>
      </c>
      <c r="C543" s="2" t="n">
        <v>44394.62290684028</v>
      </c>
      <c r="D543" t="inlineStr">
        <is>
          <t>G1</t>
        </is>
      </c>
      <c r="E543" t="inlineStr">
        <is>
          <t>AMBOS</t>
        </is>
      </c>
      <c r="F543" t="inlineStr">
        <is>
          <t>MUNDO</t>
        </is>
      </c>
      <c r="G543" t="inlineStr">
        <is>
          <t>BBC</t>
        </is>
      </c>
      <c r="H543" t="inlineStr">
        <is>
          <t>JOVENEL MOÏSE: 4 INCÓGNITAS SOBRE O ASSASSINATO DO PRESIDENTE DO HAITI</t>
        </is>
      </c>
      <c r="I543" t="inlineStr">
        <is>
          <t>MAIS DE UMA SEMANA DEPOIS DO CRIME QUE ABALOU O PAÍS CARIBENHO, HÁ MAIS DÚVIDAS DO QUE CERTEZAS.</t>
        </is>
      </c>
      <c r="J543">
        <f>HYPERLINK("https://g1.globo.com/mundo/noticia/2021/07/17/jovenel-moise-4-incognitas-sobre-o-assassinato-do-presidente-do-haiti.ghtml", "URL")</f>
        <v/>
      </c>
      <c r="K543">
        <f>HYPERLINK("https://raw.githubusercontent.com/marcosmapl/dataset_imigrantes/main/noticias_filtered/g1/ambos/2021/06_jul/html/g1_a1d74c36-231f-11ed-b24f-6dbe51e79fca_3635.html", "HTML")</f>
        <v/>
      </c>
      <c r="L543">
        <f>HYPERLINK("https://raw.githubusercontent.com/marcosmapl/dataset_imigrantes/main/noticias_filtered/g1/ambos/2021/06_jul/txt/g1_a1d74c36-231f-11ed-b24f-6dbe51e79fca_3635.txt", "TXT")</f>
        <v/>
      </c>
    </row>
    <row r="544">
      <c r="A544" s="1" t="n">
        <v>542</v>
      </c>
      <c r="B544" t="n">
        <v>2021</v>
      </c>
      <c r="C544" s="2" t="n">
        <v>44392.90875</v>
      </c>
      <c r="D544" t="inlineStr">
        <is>
          <t>A CRITICA</t>
        </is>
      </c>
      <c r="E544" t="inlineStr">
        <is>
          <t>VENEZUELANOS</t>
        </is>
      </c>
      <c r="F544" t="inlineStr"/>
      <c r="G544" t="inlineStr">
        <is>
          <t>PORTAL A CRÍTICA</t>
        </is>
      </c>
      <c r="H544" t="inlineStr">
        <is>
          <t>MAIS DE 50 IMIGRANTES VENEZUELANOS RECEBEM APOIO FINANCEIRO PARA EMPREENDER NO AM</t>
        </is>
      </c>
      <c r="I544" t="inlineStr">
        <is>
          <t>INICIATIVA É DA ONG VISÃO MUNDIAL QUE DOOU CARTÕES PRÉ-PAGOS COM FOMENTO DE R$ 1.630,00 PARA QUE OS IMIGRANTES POSSAM EMPREENDER EM TERRAS AMAZONENSES</t>
        </is>
      </c>
      <c r="J544">
        <f>HYPERLINK("https://www.acritica.com/mais-de-50-imigrantes-venezuelanos-recebem-apoio-financeiro-para-empreender-no-am-1.13388", "URL")</f>
        <v/>
      </c>
      <c r="K544">
        <f>HYPERLINK("https://raw.githubusercontent.com/marcosmapl/dataset_imigrantes/main/noticias_filtered/a_critica/venezuelanos/2021/06_jul/html/1.13388_893.html", "HTML")</f>
        <v/>
      </c>
      <c r="L544">
        <f>HYPERLINK("https://raw.githubusercontent.com/marcosmapl/dataset_imigrantes/main/noticias_filtered/a_critica/venezuelanos/2021/06_jul/txt/1.13388_893.txt", "TXT")</f>
        <v/>
      </c>
    </row>
    <row r="545">
      <c r="A545" s="1" t="n">
        <v>543</v>
      </c>
      <c r="B545" t="n">
        <v>2021</v>
      </c>
      <c r="C545" s="2" t="n">
        <v>44392.79414782408</v>
      </c>
      <c r="D545" t="inlineStr">
        <is>
          <t>G1</t>
        </is>
      </c>
      <c r="E545" t="inlineStr">
        <is>
          <t>HAITIANOS</t>
        </is>
      </c>
      <c r="F545" t="inlineStr">
        <is>
          <t>MUNDO</t>
        </is>
      </c>
      <c r="G545" t="inlineStr">
        <is>
          <t>G1</t>
        </is>
      </c>
      <c r="H545" t="inlineStr">
        <is>
          <t>HAITI RECEBE DOSES DE VACINA CONTRA A COVID-19 DOADAS DOS EUA; PAÍS É O ÚLTIMO DA AMÉRICA LATINA E CARIBE A INICIAR IMUNIZAÇÃO</t>
        </is>
      </c>
      <c r="I545" t="inlineStr">
        <is>
          <t>INTENÇÃO DA CASA BRANCA É ENVIAR AINDA MAIS DOSES AO PAÍS CARIBENHO, QUE VIVE GRAVE CRISE DESDE A MORTE DO PRESIDENTE JOVENEL MOÏSE.</t>
        </is>
      </c>
      <c r="J545">
        <f>HYPERLINK("https://g1.globo.com/mundo/noticia/2021/07/15/haiti-recebe-doses-de-vacina-contra-a-covid-19-doadas-dos-eua-pais-e-o-ultimo-da-america-latina-e-caribe-a-iniciar-imunizacao.ghtml", "URL")</f>
        <v/>
      </c>
      <c r="K545">
        <f>HYPERLINK("https://raw.githubusercontent.com/marcosmapl/dataset_imigrantes/main/noticias_filtered/g1/haitianos/2021/06_jul/html/g1_cd37e226-2317-11ed-b24f-6dbe51e79fca_3229.html", "HTML")</f>
        <v/>
      </c>
      <c r="L545">
        <f>HYPERLINK("https://raw.githubusercontent.com/marcosmapl/dataset_imigrantes/main/noticias_filtered/g1/haitianos/2021/06_jul/txt/g1_cd37e226-2317-11ed-b24f-6dbe51e79fca_3229.txt", "TXT")</f>
        <v/>
      </c>
    </row>
    <row r="546">
      <c r="A546" s="1" t="n">
        <v>544</v>
      </c>
      <c r="B546" t="n">
        <v>2021</v>
      </c>
      <c r="C546" s="2" t="n">
        <v>44392.70723263889</v>
      </c>
      <c r="D546" t="inlineStr">
        <is>
          <t>G1</t>
        </is>
      </c>
      <c r="E546" t="inlineStr">
        <is>
          <t>HAITIANOS</t>
        </is>
      </c>
      <c r="F546" t="inlineStr">
        <is>
          <t>SÃO PAULO</t>
        </is>
      </c>
      <c r="G546" t="inlineStr">
        <is>
          <t>SP1</t>
        </is>
      </c>
      <c r="H546" t="inlineStr">
        <is>
          <t>AGENTES DA GCM SÃO FLAGRADOS AGREDINDO VENDEDOR AMBULANTE EM RUA MOVIMENTADA DE OSASCO</t>
        </is>
      </c>
      <c r="I546" t="inlineStr">
        <is>
          <t>NAS IMAGENS, OS AGENTES DÃO DIVERSOS GOLPES COM CASSETETE NO RAPAZ, INCLUSIVE NA CABEÇA, E O IMOBILIZAM COM UM GOLPE 'MATA-LEÃO'. SEGUNDO A EQUIPE DA GCM, A CENA REGISTRADA TERIA ACONTECIDO APÓS O HOMEM TENTAR IMPEDIR A APREENSÃO DE SUA MERCADORIA.</t>
        </is>
      </c>
      <c r="J546">
        <f>HYPERLINK("https://g1.globo.com/sp/sao-paulo/noticia/2021/07/15/agentes-da-gcm-sao-flagrados-agredindo-vendedor-ambulante-em-rua-movimentada-de-osasco.ghtml", "URL")</f>
        <v/>
      </c>
      <c r="K546">
        <f>HYPERLINK("https://raw.githubusercontent.com/marcosmapl/dataset_imigrantes/main/noticias_filtered/g1/haitianos/2021/06_jul/html/g1_97241a88-2308-11ed-b24f-6dbe51e79fca_2393.html", "HTML")</f>
        <v/>
      </c>
      <c r="L546">
        <f>HYPERLINK("https://raw.githubusercontent.com/marcosmapl/dataset_imigrantes/main/noticias_filtered/g1/haitianos/2021/06_jul/txt/g1_97241a88-2308-11ed-b24f-6dbe51e79fca_2393.txt", "TXT")</f>
        <v/>
      </c>
    </row>
    <row r="547">
      <c r="A547" s="1" t="n">
        <v>545</v>
      </c>
      <c r="B547" t="n">
        <v>2021</v>
      </c>
      <c r="C547" s="2" t="n">
        <v>44392.60837328704</v>
      </c>
      <c r="D547" t="inlineStr">
        <is>
          <t>G1</t>
        </is>
      </c>
      <c r="E547" t="inlineStr">
        <is>
          <t>AMBOS</t>
        </is>
      </c>
      <c r="F547" t="inlineStr">
        <is>
          <t>MUNDO</t>
        </is>
      </c>
      <c r="G547" t="inlineStr">
        <is>
          <t>G1</t>
        </is>
      </c>
      <c r="H547" t="inlineStr">
        <is>
          <t>CHEFE DA SEGURANÇA DO PRESIDENTE ASSASSINADO DO HAITI É DETIDO</t>
        </is>
      </c>
      <c r="I547" t="inlineStr">
        <is>
          <t>DIMITRI HÉRARD NÃO COMPARECEU AO DEPOIMENTO AO MINISTÉRIO PÚBLICO NA QUARTA. JOVENEL MOISE FOI ASSASSINADO A TIROS EM SUA CASA, EM PORTO PRÍNCIPE, NA MADRUGADA DO DIA 7.</t>
        </is>
      </c>
      <c r="J547">
        <f>HYPERLINK("https://g1.globo.com/mundo/noticia/2021/07/15/chefe-da-seguranca-do-presidente-assassinado-do-haiti-e-detido.ghtml", "URL")</f>
        <v/>
      </c>
      <c r="K547">
        <f>HYPERLINK("https://raw.githubusercontent.com/marcosmapl/dataset_imigrantes/main/noticias_filtered/g1/ambos/2021/06_jul/html/g1_f94d36b8-2312-11ed-b24f-6dbe51e79fca_2985.html", "HTML")</f>
        <v/>
      </c>
      <c r="L547">
        <f>HYPERLINK("https://raw.githubusercontent.com/marcosmapl/dataset_imigrantes/main/noticias_filtered/g1/ambos/2021/06_jul/txt/g1_f94d36b8-2312-11ed-b24f-6dbe51e79fca_2985.txt", "TXT")</f>
        <v/>
      </c>
    </row>
    <row r="548">
      <c r="A548" s="1" t="n">
        <v>546</v>
      </c>
      <c r="B548" t="n">
        <v>2021</v>
      </c>
      <c r="C548" s="2" t="n">
        <v>44391.94989635417</v>
      </c>
      <c r="D548" t="inlineStr">
        <is>
          <t>G1</t>
        </is>
      </c>
      <c r="E548" t="inlineStr">
        <is>
          <t>VENEZUELANOS</t>
        </is>
      </c>
      <c r="F548" t="inlineStr">
        <is>
          <t>RORAIMA</t>
        </is>
      </c>
      <c r="G548" t="inlineStr">
        <is>
          <t>CAÍQUE RODRIGUES, G1 RR</t>
        </is>
      </c>
      <c r="H548" t="inlineStr">
        <is>
          <t>MESMO COM FLEXIBILIZAÇÃO, MAIORIA DOS VENEZUELANOS USA ROTAS ALTERNATIVAS PARA ENTRAR NO BRASIL</t>
        </is>
      </c>
      <c r="I548" t="inlineStr">
        <is>
          <t>A PASSAGEM E REGULARIZAÇÃO DE MIGRANTES EM SITUAÇÃO DE VULNERABILIDADE SOCIAL FOI LIBERADA PELO GOVERNO FEDERAL EM 24 DE JUNHO. NÚMERO DE MIGRANTES EM SITUAÇÃO DE RUA TAMBÉM AUMENTOU, CONFORME A OPERAÇÃO ACOLHIDA.</t>
        </is>
      </c>
      <c r="J548">
        <f>HYPERLINK("https://g1.globo.com/rr/roraima/noticia/2021/07/14/mesmo-com-flexibilizacao-maioria-dos-venezuelanos-usa-rotas-alternativas-para-entrar-no-brasil.ghtml", "URL")</f>
        <v/>
      </c>
      <c r="K548">
        <f>HYPERLINK("https://raw.githubusercontent.com/marcosmapl/dataset_imigrantes/main/noticias_filtered/g1/venezuelanos/2021/06_jul/html/g1_933a65fc-2313-11ed-b24f-6dbe51e79fca_3015.html", "HTML")</f>
        <v/>
      </c>
      <c r="L548">
        <f>HYPERLINK("https://raw.githubusercontent.com/marcosmapl/dataset_imigrantes/main/noticias_filtered/g1/venezuelanos/2021/06_jul/txt/g1_933a65fc-2313-11ed-b24f-6dbe51e79fca_3015.txt", "TXT")</f>
        <v/>
      </c>
    </row>
    <row r="549">
      <c r="A549" s="1" t="n">
        <v>547</v>
      </c>
      <c r="B549" t="n">
        <v>2021</v>
      </c>
      <c r="C549" s="2" t="n">
        <v>44391.89607070602</v>
      </c>
      <c r="D549" t="inlineStr">
        <is>
          <t>G1</t>
        </is>
      </c>
      <c r="E549" t="inlineStr">
        <is>
          <t>HAITIANOS</t>
        </is>
      </c>
      <c r="F549" t="inlineStr">
        <is>
          <t>SANTA CATARINA</t>
        </is>
      </c>
      <c r="G549" t="inlineStr">
        <is>
          <t>G1 SC E NSC TV</t>
        </is>
      </c>
      <c r="H549" t="inlineStr">
        <is>
          <t>VÍDEO MOSTRA DISCUSSÃO SEGUIDA DE AGRESSÃO A FUNCIONÁRIO HAITIANO DE FRIGORÍFICO EM CHAPECÓ</t>
        </is>
      </c>
      <c r="I549" t="inlineStr">
        <is>
          <t>TODOS OS ENVOLVIDOS FORAM AFASTADOS, DE ACORDO COM EMPRESA.</t>
        </is>
      </c>
      <c r="J549">
        <f>HYPERLINK("https://g1.globo.com/sc/santa-catarina/noticia/2021/07/14/video-mostra-discussao-seguida-de-agressao-a-funcionario-de-frigorifico-em-chapeco.ghtml", "URL")</f>
        <v/>
      </c>
      <c r="K549">
        <f>HYPERLINK("https://raw.githubusercontent.com/marcosmapl/dataset_imigrantes/main/noticias_filtered/g1/haitianos/2021/06_jul/html/g1_3b6585c0-22f8-11ed-b24f-6dbe51e79fca_2123.html", "HTML")</f>
        <v/>
      </c>
      <c r="L549">
        <f>HYPERLINK("https://raw.githubusercontent.com/marcosmapl/dataset_imigrantes/main/noticias_filtered/g1/haitianos/2021/06_jul/txt/g1_3b6585c0-22f8-11ed-b24f-6dbe51e79fca_2123.txt", "TXT")</f>
        <v/>
      </c>
    </row>
    <row r="550">
      <c r="A550" s="1" t="n">
        <v>548</v>
      </c>
      <c r="B550" t="n">
        <v>2021</v>
      </c>
      <c r="C550" s="2" t="n">
        <v>44391.85234756945</v>
      </c>
      <c r="D550" t="inlineStr">
        <is>
          <t>G1</t>
        </is>
      </c>
      <c r="E550" t="inlineStr">
        <is>
          <t>HAITIANOS</t>
        </is>
      </c>
      <c r="F550" t="inlineStr">
        <is>
          <t>GOIÁS</t>
        </is>
      </c>
      <c r="G550" t="inlineStr">
        <is>
          <t>JOHNATHAN MOREIRA E GUILHERME RODRIGUES, TV ANHANGUERA E G1 GO</t>
        </is>
      </c>
      <c r="H550" t="inlineStr">
        <is>
          <t>HAITIANA DENUNCIA INJÚRIA RACIAL DE VIZINHOS E QUE PM A GOLPEOU COM 'MATA-LEÃO' APÓS RECLAMAÇÃO DE SOM ALTO EM ANÁPOLIS; VÍDEO</t>
        </is>
      </c>
      <c r="I550" t="inlineStr">
        <is>
          <t>IMAGEM MOSTRA QUANDO POLICIAL CHUTA PORTÃO DA CASA DELA, A GOLPEIA PELO PESCOÇO E A ALGEMA. LOJISTA DIZ QUE VIZINHOS QUE A DENUNCIARAM A CHAMARAM DE 'NEGRA IMUNDA' NA FRENTE DA PM.</t>
        </is>
      </c>
      <c r="J550">
        <f>HYPERLINK("https://g1.globo.com/go/goias/noticia/2021/07/14/haitiana-denuncia-injuria-racial-de-vizinhos-e-que-pm-a-golpeou-com-mata-leao-apos-reclamacao-de-som-alto-em-anapolis-video.ghtml", "URL")</f>
        <v/>
      </c>
      <c r="K550">
        <f>HYPERLINK("https://raw.githubusercontent.com/marcosmapl/dataset_imigrantes/main/noticias_filtered/g1/haitianos/2021/06_jul/html/g1_73c7318c-2318-11ed-b24f-6dbe51e79fca_3261.html", "HTML")</f>
        <v/>
      </c>
      <c r="L550">
        <f>HYPERLINK("https://raw.githubusercontent.com/marcosmapl/dataset_imigrantes/main/noticias_filtered/g1/haitianos/2021/06_jul/txt/g1_73c7318c-2318-11ed-b24f-6dbe51e79fca_3261.txt", "TXT")</f>
        <v/>
      </c>
    </row>
    <row r="551">
      <c r="A551" s="1" t="n">
        <v>549</v>
      </c>
      <c r="B551" t="n">
        <v>2021</v>
      </c>
      <c r="C551" s="2" t="n">
        <v>44391.78753788194</v>
      </c>
      <c r="D551" t="inlineStr">
        <is>
          <t>G1</t>
        </is>
      </c>
      <c r="E551" t="inlineStr">
        <is>
          <t>VENEZUELANOS</t>
        </is>
      </c>
      <c r="F551" t="inlineStr">
        <is>
          <t>RORAIMA</t>
        </is>
      </c>
      <c r="G551" t="inlineStr">
        <is>
          <t>SUZANNE OLIVEIRA, G1 RR — BOA VISTA</t>
        </is>
      </c>
      <c r="H551" t="inlineStr">
        <is>
          <t>MIGRANTES VENEZUELANOS LOTAM RUAS DE PACARAIMA, EM RR, APÓS FLEXIBILIZAÇÃO NA FRONTEIRA; VÍDEO</t>
        </is>
      </c>
      <c r="I551" t="inlineStr">
        <is>
          <t>A PASSAGEM E REGULARIZAÇÃO DE MIGRANTES EM SITUAÇÃO DE VULNERABILIDADE SOCIAL FOI LIBERADA PELO GOVERNO FEDERAL EM 24 DE JUNHO. SEGUNDO A OPERAÇÃO ACOLHIDA, EM 20 DIAS, 7.082 PESSOAS FORAM ATENDIDAS E DOCUMENTADAS NO POSTO DE TRIAGEM.</t>
        </is>
      </c>
      <c r="J551">
        <f>HYPERLINK("https://g1.globo.com/rr/roraima/noticia/2021/07/14/migrantes-venezuelanos-lotam-ruas-de-pacaraima-em-rr-apos-flexibilizacao-na-fronteira-video.ghtml", "URL")</f>
        <v/>
      </c>
      <c r="K551">
        <f>HYPERLINK("https://raw.githubusercontent.com/marcosmapl/dataset_imigrantes/main/noticias_filtered/g1/venezuelanos/2021/06_jul/html/g1_4453ba64-2319-11ed-b24f-6dbe51e79fca_3306.html", "HTML")</f>
        <v/>
      </c>
      <c r="L551">
        <f>HYPERLINK("https://raw.githubusercontent.com/marcosmapl/dataset_imigrantes/main/noticias_filtered/g1/venezuelanos/2021/06_jul/txt/g1_4453ba64-2319-11ed-b24f-6dbe51e79fca_3306.txt", "TXT")</f>
        <v/>
      </c>
    </row>
    <row r="552">
      <c r="A552" s="1" t="n">
        <v>550</v>
      </c>
      <c r="B552" t="n">
        <v>2021</v>
      </c>
      <c r="C552" s="2" t="n">
        <v>44390.83070819444</v>
      </c>
      <c r="D552" t="inlineStr">
        <is>
          <t>G1</t>
        </is>
      </c>
      <c r="E552" t="inlineStr">
        <is>
          <t>VENEZUELANOS</t>
        </is>
      </c>
      <c r="F552" t="inlineStr">
        <is>
          <t>RONDÔNIA</t>
        </is>
      </c>
      <c r="G552" t="inlineStr">
        <is>
          <t>G1 RO</t>
        </is>
      </c>
      <c r="H552" t="inlineStr">
        <is>
          <t>SUSPEITO DE MATAR VENEZUELANO A PAULADAS É PRESO EM OURO PRETO DO OESTE, RO</t>
        </is>
      </c>
      <c r="I552" t="inlineStr">
        <is>
          <t>HOMEM CONFESSOU O CRIME E DISSE TER SIDO ASSALTADO PELA VÍTIMA UM DIA ANTES. PEDAÇO DE MADEIRA UTILIZADO NO HOMICÍDIO FOI LOCALIZADO.</t>
        </is>
      </c>
      <c r="J552">
        <f>HYPERLINK("https://g1.globo.com/ro/rondonia/noticia/2021/07/13/suspeito-de-matar-venezuelano-a-pauladas-e-preso-em-ouro-preto-do-oeste-ro.ghtml", "URL")</f>
        <v/>
      </c>
      <c r="K552">
        <f>HYPERLINK("https://raw.githubusercontent.com/marcosmapl/dataset_imigrantes/main/noticias_filtered/g1/venezuelanos/2021/06_jul/html/g1_734444a2-232c-11ed-b24f-6dbe51e79fca_4305.html", "HTML")</f>
        <v/>
      </c>
      <c r="L552">
        <f>HYPERLINK("https://raw.githubusercontent.com/marcosmapl/dataset_imigrantes/main/noticias_filtered/g1/venezuelanos/2021/06_jul/txt/g1_734444a2-232c-11ed-b24f-6dbe51e79fca_4305.txt", "TXT")</f>
        <v/>
      </c>
    </row>
    <row r="553">
      <c r="A553" s="1" t="n">
        <v>551</v>
      </c>
      <c r="B553" t="n">
        <v>2021</v>
      </c>
      <c r="C553" s="2" t="n">
        <v>44390.49917409723</v>
      </c>
      <c r="D553" t="inlineStr">
        <is>
          <t>G1</t>
        </is>
      </c>
      <c r="E553" t="inlineStr">
        <is>
          <t>HAITIANOS</t>
        </is>
      </c>
      <c r="F553" t="inlineStr">
        <is>
          <t>MUNDO</t>
        </is>
      </c>
      <c r="G553" t="inlineStr">
        <is>
          <t>G1</t>
        </is>
      </c>
      <c r="H553" t="inlineStr">
        <is>
          <t>SUSPEITOS DE ASSASSINATO DE PRESIDENTE DO HAITI TIVERAM RELAÇÃO COM FORÇAS DE SEGURANÇA DOS EUA, DIZ FONTE</t>
        </is>
      </c>
      <c r="I553" t="inlineStr">
        <is>
          <t>DOIS AMERICANOS DE ORIGEM HAITIANA FORAM PRESOS COM OS COMBATENTES COLOMBIANOS QUE SÃO ACUSADOS DE MATAR O PRESIDENTE DO HAITI. SEGUNDO UMA FONTE DO GOVERNO DOS EUA, NO PASSADO, UM DELES TEVE UMA RELAÇÃO COM UMA AGÊNCIA DE SEGURANÇA AMERICANA.</t>
        </is>
      </c>
      <c r="J553">
        <f>HYPERLINK("https://g1.globo.com/mundo/noticia/2021/07/13/suspeitos-de-assassinato-de-presidente-do-haiti-tiveram-relacao-com-forcas-de-seguranca-dos-eua-diz-fonte.ghtml", "URL")</f>
        <v/>
      </c>
      <c r="K553">
        <f>HYPERLINK("https://raw.githubusercontent.com/marcosmapl/dataset_imigrantes/main/noticias_filtered/g1/haitianos/2021/06_jul/html/g1_a5d2cf68-2310-11ed-b24f-6dbe51e79fca_2867.html", "HTML")</f>
        <v/>
      </c>
      <c r="L553">
        <f>HYPERLINK("https://raw.githubusercontent.com/marcosmapl/dataset_imigrantes/main/noticias_filtered/g1/haitianos/2021/06_jul/txt/g1_a5d2cf68-2310-11ed-b24f-6dbe51e79fca_2867.txt", "TXT")</f>
        <v/>
      </c>
    </row>
    <row r="554">
      <c r="A554" s="1" t="n">
        <v>552</v>
      </c>
      <c r="B554" t="n">
        <v>2021</v>
      </c>
      <c r="C554" s="2" t="n">
        <v>44390.04199435185</v>
      </c>
      <c r="D554" t="inlineStr">
        <is>
          <t>G1</t>
        </is>
      </c>
      <c r="E554" t="inlineStr">
        <is>
          <t>HAITIANOS</t>
        </is>
      </c>
      <c r="F554" t="inlineStr">
        <is>
          <t>JORNAL NACIONAL</t>
        </is>
      </c>
      <c r="G554" t="inlineStr">
        <is>
          <t>JORNAL NACIONAL</t>
        </is>
      </c>
      <c r="H554" t="inlineStr">
        <is>
          <t>POLÍCIA DO HAITI PRENDE ACUSADO DE PLANEJAR ASSASSINATO DO PRESIDENTE JOVENEL MOISE</t>
        </is>
      </c>
      <c r="I554" t="inlineStr">
        <is>
          <t>MÉDICO HAITIANO QUE MORA HÁ 20 ANOS NA FLÓRIDA E VOLTOU AO HAITI EM JUNHO, NUM JATINHO PARTICULAR, PRETENDIA ASSUMIR A PRESIDÊNCIA, SEGUNDO A POLÍCIA.</t>
        </is>
      </c>
      <c r="J554">
        <f>HYPERLINK("https://g1.globo.com/jornal-nacional/noticia/2021/07/12/policia-do-haiti-prende-acusado-de-planejar-assassinato-do-presidente-jovenel-moise.ghtml", "URL")</f>
        <v/>
      </c>
      <c r="K554">
        <f>HYPERLINK("https://raw.githubusercontent.com/marcosmapl/dataset_imigrantes/main/noticias_filtered/g1/haitianos/2021/06_jul/html/g1_5ac63178-22f6-11ed-b24f-6dbe51e79fca_2009.html", "HTML")</f>
        <v/>
      </c>
      <c r="L554">
        <f>HYPERLINK("https://raw.githubusercontent.com/marcosmapl/dataset_imigrantes/main/noticias_filtered/g1/haitianos/2021/06_jul/txt/g1_5ac63178-22f6-11ed-b24f-6dbe51e79fca_2009.txt", "TXT")</f>
        <v/>
      </c>
    </row>
    <row r="555">
      <c r="A555" s="1" t="n">
        <v>553</v>
      </c>
      <c r="B555" t="n">
        <v>2021</v>
      </c>
      <c r="C555" s="2" t="n">
        <v>44389.60689863426</v>
      </c>
      <c r="D555" t="inlineStr">
        <is>
          <t>G1</t>
        </is>
      </c>
      <c r="E555" t="inlineStr">
        <is>
          <t>HAITIANOS</t>
        </is>
      </c>
      <c r="F555" t="inlineStr">
        <is>
          <t>SANTA CATARINA</t>
        </is>
      </c>
      <c r="G555" t="inlineStr">
        <is>
          <t>ÂNGELA BASTOS, G1 SC E NSC</t>
        </is>
      </c>
      <c r="H555" t="inlineStr">
        <is>
          <t>CRISE NO HAITI PREOCUPA IMIGRANTES: 'NÃO TEM CONDIÇÕES PARA RESOLVER PROBLEMAS', DIZ HAITIANO QUE VIVE EM SC</t>
        </is>
      </c>
      <c r="I555" t="inlineStr">
        <is>
          <t>APÓS O ATAQUE QUE MATOU O PRESIDENTE DO HAITI, IMIGRANTES QUE MORAM NA GRANDE FLORIANÓPOLIS REFORÇARAM CONTATO COM OS FAMILIARES, QUE RELATAM AGRAVAMENTO DA SITUAÇÃO NO PAÍS.</t>
        </is>
      </c>
      <c r="J555">
        <f>HYPERLINK("https://g1.globo.com/sc/santa-catarina/noticia/2021/07/12/crise-no-haiti-preocupa-imigrantes-gera-inseguranca-em-todos-diz-haitiana-que-vive-em-sc.ghtml", "URL")</f>
        <v/>
      </c>
      <c r="K555">
        <f>HYPERLINK("https://raw.githubusercontent.com/marcosmapl/dataset_imigrantes/main/noticias_filtered/g1/haitianos/2021/06_jul/html/g1_314ebf42-22f4-11ed-b24f-6dbe51e79fca_1877.html", "HTML")</f>
        <v/>
      </c>
      <c r="L555">
        <f>HYPERLINK("https://raw.githubusercontent.com/marcosmapl/dataset_imigrantes/main/noticias_filtered/g1/haitianos/2021/06_jul/txt/g1_314ebf42-22f4-11ed-b24f-6dbe51e79fca_1877.txt", "TXT")</f>
        <v/>
      </c>
    </row>
    <row r="556">
      <c r="A556" s="1" t="n">
        <v>554</v>
      </c>
      <c r="B556" t="n">
        <v>2021</v>
      </c>
      <c r="C556" s="2" t="n">
        <v>44389.4246953125</v>
      </c>
      <c r="D556" t="inlineStr">
        <is>
          <t>G1</t>
        </is>
      </c>
      <c r="E556" t="inlineStr">
        <is>
          <t>HAITIANOS</t>
        </is>
      </c>
      <c r="F556" t="inlineStr">
        <is>
          <t>MUNDO</t>
        </is>
      </c>
      <c r="G556" t="inlineStr">
        <is>
          <t>G1</t>
        </is>
      </c>
      <c r="H556" t="inlineStr">
        <is>
          <t>POLÍCIA DO HAITI PRENDE HOMEM QUE VIVE NOS EUA E CONTRATOU COLOMBIANOS PARA MATAR O PRESIDENTE</t>
        </is>
      </c>
      <c r="I556" t="inlineStr">
        <is>
          <t>NAS REDES SOCIAIS, HAITIANO CHARLES EMMANUEL SANON SE APRESENTA COMO MÉDICO. ELE JÁ PUBLICOU VÍDEOS E MENSAGENS EM QUE FALA SOBRE A POLÍTICA NO HAITI.</t>
        </is>
      </c>
      <c r="J556">
        <f>HYPERLINK("https://g1.globo.com/mundo/noticia/2021/07/12/policia-prende-haitiano-que-vive-nos-eua-e-contratou-colombianos-que-mataram-o-presidente.ghtml", "URL")</f>
        <v/>
      </c>
      <c r="K556">
        <f>HYPERLINK("https://raw.githubusercontent.com/marcosmapl/dataset_imigrantes/main/noticias_filtered/g1/haitianos/2021/06_jul/html/g1_6497ecae-22b1-11ed-b24f-6dbe51e79fca_1632.html", "HTML")</f>
        <v/>
      </c>
      <c r="L556">
        <f>HYPERLINK("https://raw.githubusercontent.com/marcosmapl/dataset_imigrantes/main/noticias_filtered/g1/haitianos/2021/06_jul/txt/g1_6497ecae-22b1-11ed-b24f-6dbe51e79fca_1632.txt", "TXT")</f>
        <v/>
      </c>
    </row>
    <row r="557">
      <c r="A557" s="1" t="n">
        <v>555</v>
      </c>
      <c r="B557" t="n">
        <v>2021</v>
      </c>
      <c r="C557" s="2" t="n">
        <v>44389.06940160879</v>
      </c>
      <c r="D557" t="inlineStr">
        <is>
          <t>G1</t>
        </is>
      </c>
      <c r="E557" t="inlineStr">
        <is>
          <t>HAITIANOS</t>
        </is>
      </c>
      <c r="F557" t="inlineStr">
        <is>
          <t>FANTÁSTICO</t>
        </is>
      </c>
      <c r="G557" t="inlineStr">
        <is>
          <t>FANTÁSTICO</t>
        </is>
      </c>
      <c r="H557" t="inlineStr">
        <is>
          <t>DOCUMENTÁRIO INÉDITO REVELA CAOS NO HAITI, PAÍS QUE VIROU REFÉM DE GANGUES SANGUINÁRIAS</t>
        </is>
      </c>
      <c r="I557" t="inlineStr">
        <is>
          <t>CINCO DIAS DEPOIS DO ASSASSINATO DO PRESIDENTE JOVENEL MOISE, A POLÍCIA COMEÇA A ENCAIXAR AS PRIMEIRAS PEÇAS DO QUEBRA-CABEÇA: 28 SUSPEITOS FORAM IDENTIFICADOS.</t>
        </is>
      </c>
      <c r="J557">
        <f>HYPERLINK("https://g1.globo.com/fantastico/noticia/2021/07/11/documentario-inedito-revela-caos-no-haiti-pais-que-virou-refem-de-gangues-sanguinarias.ghtml", "URL")</f>
        <v/>
      </c>
      <c r="K557">
        <f>HYPERLINK("https://raw.githubusercontent.com/marcosmapl/dataset_imigrantes/main/noticias_filtered/g1/haitianos/2021/06_jul/html/g1_9b99a794-231d-11ed-b24f-6dbe51e79fca_3509.html", "HTML")</f>
        <v/>
      </c>
      <c r="L557">
        <f>HYPERLINK("https://raw.githubusercontent.com/marcosmapl/dataset_imigrantes/main/noticias_filtered/g1/haitianos/2021/06_jul/txt/g1_9b99a794-231d-11ed-b24f-6dbe51e79fca_3509.txt", "TXT")</f>
        <v/>
      </c>
    </row>
    <row r="558">
      <c r="A558" s="1" t="n">
        <v>556</v>
      </c>
      <c r="B558" t="n">
        <v>2021</v>
      </c>
      <c r="C558" s="2" t="n">
        <v>44388.82603186343</v>
      </c>
      <c r="D558" t="inlineStr">
        <is>
          <t>G1</t>
        </is>
      </c>
      <c r="E558" t="inlineStr">
        <is>
          <t>HAITIANOS</t>
        </is>
      </c>
      <c r="F558" t="inlineStr">
        <is>
          <t>MUNDO</t>
        </is>
      </c>
      <c r="G558" t="inlineStr">
        <is>
          <t>REUTERS</t>
        </is>
      </c>
      <c r="H558" t="inlineStr">
        <is>
          <t>GOVERNO DOS ESTADOS UNIDOS DIZ QUE ENVIARÁ EQUIPE AO HAITI PARA AVALIAR NECESSIDADES DO PAÍS</t>
        </is>
      </c>
      <c r="I558" t="inlineStr">
        <is>
          <t>ASSISTÊNCIA DOS EUA FOI SOLICITADA POR CAUSA DO ASSASSINATO DO PRESIDENTE HAITIANO NA SEMANA PASSADA, DISSE O PENTÁGONO.</t>
        </is>
      </c>
      <c r="J558">
        <f>HYPERLINK("https://g1.globo.com/mundo/noticia/2021/07/11/governo-dos-estados-unidos-diz-que-enviara-equipe-ao-haiti-para-avaliar-necessidades-do-pais.ghtml", "URL")</f>
        <v/>
      </c>
      <c r="K558">
        <f>HYPERLINK("https://raw.githubusercontent.com/marcosmapl/dataset_imigrantes/main/noticias_filtered/g1/haitianos/2021/06_jul/html/g1_1c3f0fb4-22f7-11ed-b24f-6dbe51e79fca_2060.html", "HTML")</f>
        <v/>
      </c>
      <c r="L558">
        <f>HYPERLINK("https://raw.githubusercontent.com/marcosmapl/dataset_imigrantes/main/noticias_filtered/g1/haitianos/2021/06_jul/txt/g1_1c3f0fb4-22f7-11ed-b24f-6dbe51e79fca_2060.txt", "TXT")</f>
        <v/>
      </c>
    </row>
    <row r="559">
      <c r="A559" s="1" t="n">
        <v>557</v>
      </c>
      <c r="B559" t="n">
        <v>2021</v>
      </c>
      <c r="C559" s="2" t="n">
        <v>44387.33374107639</v>
      </c>
      <c r="D559" t="inlineStr">
        <is>
          <t>G1</t>
        </is>
      </c>
      <c r="E559" t="inlineStr">
        <is>
          <t>HAITIANOS</t>
        </is>
      </c>
      <c r="F559" t="inlineStr">
        <is>
          <t>MUNDO</t>
        </is>
      </c>
      <c r="G559" t="inlineStr">
        <is>
          <t>G1</t>
        </is>
      </c>
      <c r="H559" t="inlineStr">
        <is>
          <t>VOCÊ VIU? PRISÃO NA CPI E CARTA A BOLSONARO, PESQUISA ELEITORAL, ASSASSINATO DE PRESIDENTE DO HAITI E FORTUNA DO BRASILEIRO MAIS RICO</t>
        </is>
      </c>
      <c r="I559" t="inlineStr">
        <is>
          <t>UMA SELEÇÃO DE REPORTAGENS PUBLICADAS NO G1 COM AS NOTÍCIAS DE 5 A 9 DE JULHO.</t>
        </is>
      </c>
      <c r="J559">
        <f>HYPERLINK("https://g1.globo.com/mundo/noticia/2021/07/10/voce-viu-prisao-na-cpi-e-carta-a-bolsonaro-pesquisa-eleitoral-assassinato-de-presidente-do-haiti-e-fortuna-do-brasileiro-mais-rico.ghtml", "URL")</f>
        <v/>
      </c>
      <c r="K559">
        <f>HYPERLINK("https://raw.githubusercontent.com/marcosmapl/dataset_imigrantes/main/noticias_filtered/g1/haitianos/2021/06_jul/html/g1_053b875c-2310-11ed-b24f-6dbe51e79fca_2834.html", "HTML")</f>
        <v/>
      </c>
      <c r="L559">
        <f>HYPERLINK("https://raw.githubusercontent.com/marcosmapl/dataset_imigrantes/main/noticias_filtered/g1/haitianos/2021/06_jul/txt/g1_053b875c-2310-11ed-b24f-6dbe51e79fca_2834.txt", "TXT")</f>
        <v/>
      </c>
    </row>
    <row r="560">
      <c r="A560" s="1" t="n">
        <v>558</v>
      </c>
      <c r="B560" t="n">
        <v>2021</v>
      </c>
      <c r="C560" s="2" t="n">
        <v>44387.0430441088</v>
      </c>
      <c r="D560" t="inlineStr">
        <is>
          <t>G1</t>
        </is>
      </c>
      <c r="E560" t="inlineStr">
        <is>
          <t>HAITIANOS</t>
        </is>
      </c>
      <c r="F560" t="inlineStr">
        <is>
          <t>MUNDO</t>
        </is>
      </c>
      <c r="G560" t="inlineStr">
        <is>
          <t>G1</t>
        </is>
      </c>
      <c r="H560" t="inlineStr">
        <is>
          <t>JOSEPH LAMBERT É DECLARADO PRESIDENTE INTERINO DO HAITI PELO SENADO; PAÍS PEDE QUE EUA E ONU ENVIEM TROPAS</t>
        </is>
      </c>
      <c r="I560" t="inlineStr">
        <is>
          <t>PRESIDENTE DO SENADO FOI APONTADO APÓS VENCER VOTAÇÃO ENTRE MAIORIA DOS PRESENTES; ATÉ ENTÃO, CARGO ESTAVA SENDO EXERCIDO PROVISORIAMENTE PELO PRIMEIRO-MINISTRO INTERINO DO PAÍS, CLAUDE JOSEPH. PRESIDENTE JOVENEL MOISE FOI MORTO A TIROS EM SUA CASA, NA MADRUGADA DE QUARTA-FEIRA (7).</t>
        </is>
      </c>
      <c r="J560">
        <f>HYPERLINK("https://g1.globo.com/mundo/noticia/2021/07/09/joseph-lambert-e-declarado-presidente-interino-do-haiti-pelo-senado-pais-pede-que-eua-e-onu-enviem-tropas.ghtml", "URL")</f>
        <v/>
      </c>
      <c r="K560">
        <f>HYPERLINK("https://raw.githubusercontent.com/marcosmapl/dataset_imigrantes/main/noticias_filtered/g1/haitianos/2021/06_jul/html/g1_2991507c-2307-11ed-b24f-6dbe51e79fca_2300.html", "HTML")</f>
        <v/>
      </c>
      <c r="L560">
        <f>HYPERLINK("https://raw.githubusercontent.com/marcosmapl/dataset_imigrantes/main/noticias_filtered/g1/haitianos/2021/06_jul/txt/g1_2991507c-2307-11ed-b24f-6dbe51e79fca_2300.txt", "TXT")</f>
        <v/>
      </c>
    </row>
    <row r="561">
      <c r="A561" s="1" t="n">
        <v>559</v>
      </c>
      <c r="B561" t="n">
        <v>2021</v>
      </c>
      <c r="C561" s="2" t="n">
        <v>44386.99926894676</v>
      </c>
      <c r="D561" t="inlineStr">
        <is>
          <t>G1</t>
        </is>
      </c>
      <c r="E561" t="inlineStr">
        <is>
          <t>HAITIANOS</t>
        </is>
      </c>
      <c r="F561" t="inlineStr"/>
      <c r="G561" t="inlineStr">
        <is>
          <t>G1</t>
        </is>
      </c>
      <c r="H561" t="inlineStr">
        <is>
          <t>SEXTA-FEIRA, 09 DE JULHO</t>
        </is>
      </c>
      <c r="I561" t="inlineStr">
        <is>
          <t>BOA NOITE. AQUI ESTÃO AS NOTÍCIAS PARA VOCÊ TERMINAR O DIA BEM-INFORMADO.</t>
        </is>
      </c>
      <c r="J561">
        <f>HYPERLINK("https://g1.globo.com/resumo-do-dia/noticia/2021/07/09/sexta-feira-09-de-julho.ghtml", "URL")</f>
        <v/>
      </c>
      <c r="K561">
        <f>HYPERLINK("https://raw.githubusercontent.com/marcosmapl/dataset_imigrantes/main/noticias_filtered/g1/haitianos/2021/06_jul/html/g1_0340226c-232b-11ed-b24f-6dbe51e79fca_4216.html", "HTML")</f>
        <v/>
      </c>
      <c r="L561">
        <f>HYPERLINK("https://raw.githubusercontent.com/marcosmapl/dataset_imigrantes/main/noticias_filtered/g1/haitianos/2021/06_jul/txt/g1_0340226c-232b-11ed-b24f-6dbe51e79fca_4216.txt", "TXT")</f>
        <v/>
      </c>
    </row>
    <row r="562">
      <c r="A562" s="1" t="n">
        <v>560</v>
      </c>
      <c r="B562" t="n">
        <v>2021</v>
      </c>
      <c r="C562" s="2" t="n">
        <v>44386.84929792824</v>
      </c>
      <c r="D562" t="inlineStr">
        <is>
          <t>G1</t>
        </is>
      </c>
      <c r="E562" t="inlineStr">
        <is>
          <t>HAITIANOS</t>
        </is>
      </c>
      <c r="F562" t="inlineStr">
        <is>
          <t>MUNDO</t>
        </is>
      </c>
      <c r="G562" t="inlineStr">
        <is>
          <t>DANIEL PARDO, BBC</t>
        </is>
      </c>
      <c r="H562" t="inlineStr">
        <is>
          <t>HAITI: A INDÚSTRIA DE MERCENÁRIOS COLOMBIANOS QUE PODE ESTAR POR TRÁS DO ASSASSINATO DO PRESIDENTE JOVENEL MOÏSE</t>
        </is>
      </c>
      <c r="I562" t="inlineStr">
        <is>
          <t>A ORIGEM DESTES GRUPOS PARAMILITARES ESTÁ LIGADA ÀS OPERAÇÕES DE COMBATE AO NARCOTRÁFICO E AO TERRORISMO, MUITAS DELAS FINANCIADAS PELOS EUA. ELES ESTIVERAM ENVOLVIDOS EM DIVERSOS CONFLITOS INTERNACIONAIS E SÃO REQUISITADOS POR CAUSA DE SUAS HABILIDADES E DOS VALORES BAIXOS COBRADOS POR SEUS SERVIÇOS.</t>
        </is>
      </c>
      <c r="J562">
        <f>HYPERLINK("https://g1.globo.com/mundo/noticia/2021/07/09/haiti-a-industria-de-mercenarios-colombianos-que-pode-estar-por-tras-do-assassinato-do-presidente-jovenel-moise.ghtml", "URL")</f>
        <v/>
      </c>
      <c r="K562">
        <f>HYPERLINK("https://raw.githubusercontent.com/marcosmapl/dataset_imigrantes/main/noticias_filtered/g1/haitianos/2021/06_jul/html/g1_9e2af4b0-231b-11ed-b24f-6dbe51e79fca_3396.html", "HTML")</f>
        <v/>
      </c>
      <c r="L562">
        <f>HYPERLINK("https://raw.githubusercontent.com/marcosmapl/dataset_imigrantes/main/noticias_filtered/g1/haitianos/2021/06_jul/txt/g1_9e2af4b0-231b-11ed-b24f-6dbe51e79fca_3396.txt", "TXT")</f>
        <v/>
      </c>
    </row>
    <row r="563">
      <c r="A563" s="1" t="n">
        <v>561</v>
      </c>
      <c r="B563" t="n">
        <v>2021</v>
      </c>
      <c r="C563" s="2" t="n">
        <v>44386.67059748842</v>
      </c>
      <c r="D563" t="inlineStr">
        <is>
          <t>G1</t>
        </is>
      </c>
      <c r="E563" t="inlineStr">
        <is>
          <t>VENEZUELANOS</t>
        </is>
      </c>
      <c r="F563" t="inlineStr">
        <is>
          <t>PARAÍBA</t>
        </is>
      </c>
      <c r="G563" t="inlineStr">
        <is>
          <t>PLÍNIO ALMEIDA, TV CABO BRANCO</t>
        </is>
      </c>
      <c r="H563" t="inlineStr">
        <is>
          <t>MÉDICO VENEZUELANO VIVE NO BRASIL HÁ 4 ANOS E HOJE TRABALHA COMO MARCENEIRO: 'ATÉ OS MÉDICOS NÃO TÊM CONDIÇÕES', DIZ</t>
        </is>
      </c>
      <c r="I563" t="inlineStr">
        <is>
          <t>ELE É AUTÔNOMO E ELA TRABALHA EM UMA PIZZARIA. É COMO O CASAL DE REFUGIADOS, QUE MORA DE ALUGUEL EM GRAMAME, SUSTENTA A FAMÍLIA E TENTA AJUDAR FAMILIARES QUE FICARAM NA VENEZUELA.</t>
        </is>
      </c>
      <c r="J563">
        <f>HYPERLINK("https://g1.globo.com/pb/paraiba/noticia/2021/07/09/medico-venezuelano-vive-no-brasil-ha-4-anos-e-hoje-trabalha-como-marceneiro-ate-os-medicos-nao-tem-condicoes-diz.ghtml", "URL")</f>
        <v/>
      </c>
      <c r="K563">
        <f>HYPERLINK("https://raw.githubusercontent.com/marcosmapl/dataset_imigrantes/main/noticias_filtered/g1/venezuelanos/2021/06_jul/html/g1_434adcc2-232a-11ed-b24f-6dbe51e79fca_4167.html", "HTML")</f>
        <v/>
      </c>
      <c r="L563">
        <f>HYPERLINK("https://raw.githubusercontent.com/marcosmapl/dataset_imigrantes/main/noticias_filtered/g1/venezuelanos/2021/06_jul/txt/g1_434adcc2-232a-11ed-b24f-6dbe51e79fca_4167.txt", "TXT")</f>
        <v/>
      </c>
    </row>
    <row r="564">
      <c r="A564" s="1" t="n">
        <v>562</v>
      </c>
      <c r="B564" t="n">
        <v>2021</v>
      </c>
      <c r="C564" s="2" t="n">
        <v>44386.57903466436</v>
      </c>
      <c r="D564" t="inlineStr">
        <is>
          <t>G1</t>
        </is>
      </c>
      <c r="E564" t="inlineStr">
        <is>
          <t>HAITIANOS</t>
        </is>
      </c>
      <c r="F564" t="inlineStr">
        <is>
          <t>MUNDO</t>
        </is>
      </c>
      <c r="G564" t="inlineStr">
        <is>
          <t>G1</t>
        </is>
      </c>
      <c r="H564" t="inlineStr">
        <is>
          <t>COLÔMBIA INVESTIGA SE PRESOS PELA MORTE DO PRESIDENTE DO HAITI SÃO MILITARES</t>
        </is>
      </c>
      <c r="I564" t="inlineStr">
        <is>
          <t>GOVERNO DE TAIWAN REVELOU NESTA SEXTA QUE 11 HOMENS ARMADOS INVADIRAM SUA EMBAIXADA EM PORTO PRÍNCIPE E QUE AUTORIZOU A POLÍCIA HAITIANA A ENTRAR NO LOCAL E PRENDER OS SUSPEITOS.</t>
        </is>
      </c>
      <c r="J564">
        <f>HYPERLINK("https://g1.globo.com/mundo/noticia/2021/07/09/colombia-investiga-se-presos-pela-morte-do-presidente-do-haiti-sao-reservistas-do-exercito-do-pais.ghtml", "URL")</f>
        <v/>
      </c>
      <c r="K564">
        <f>HYPERLINK("https://raw.githubusercontent.com/marcosmapl/dataset_imigrantes/main/noticias_filtered/g1/haitianos/2021/06_jul/html/g1_e8707bce-230e-11ed-b24f-6dbe51e79fca_2765.html", "HTML")</f>
        <v/>
      </c>
      <c r="L564">
        <f>HYPERLINK("https://raw.githubusercontent.com/marcosmapl/dataset_imigrantes/main/noticias_filtered/g1/haitianos/2021/06_jul/txt/g1_e8707bce-230e-11ed-b24f-6dbe51e79fca_2765.txt", "TXT")</f>
        <v/>
      </c>
    </row>
    <row r="565">
      <c r="A565" s="1" t="n">
        <v>563</v>
      </c>
      <c r="B565" t="n">
        <v>2021</v>
      </c>
      <c r="C565" s="2" t="n">
        <v>44386.04274789352</v>
      </c>
      <c r="D565" t="inlineStr">
        <is>
          <t>G1</t>
        </is>
      </c>
      <c r="E565" t="inlineStr">
        <is>
          <t>HAITIANOS</t>
        </is>
      </c>
      <c r="F565" t="inlineStr">
        <is>
          <t>JORNAL NACIONAL</t>
        </is>
      </c>
      <c r="G565" t="inlineStr">
        <is>
          <t>JORNAL NACIONAL</t>
        </is>
      </c>
      <c r="H565" t="inlineStr">
        <is>
          <t>POLÍCIA HAITIANA PRENDE SEIS SUSPEITOS DE ENVOLVIMENTO NA MORTE DO PRESIDENTE JOVENEL MOISE</t>
        </is>
      </c>
      <c r="I565" t="inlineStr">
        <is>
          <t>QUATRO MORRERAM NUMA TROCA DE TIROS COM OS POLICIAIS, QUE PROCURAM OS MANDANTES DO CRIME.</t>
        </is>
      </c>
      <c r="J565">
        <f>HYPERLINK("https://g1.globo.com/jornal-nacional/noticia/2021/07/08/policia-haitiana-prende-seis-suspeitos-de-envolvimento-na-morte-do-presidente-jovenel-moise.ghtml", "URL")</f>
        <v/>
      </c>
      <c r="K565">
        <f>HYPERLINK("https://raw.githubusercontent.com/marcosmapl/dataset_imigrantes/main/noticias_filtered/g1/haitianos/2021/06_jul/html/g1_63eeaffa-230f-11ed-b24f-6dbe51e79fca_2793.html", "HTML")</f>
        <v/>
      </c>
      <c r="L565">
        <f>HYPERLINK("https://raw.githubusercontent.com/marcosmapl/dataset_imigrantes/main/noticias_filtered/g1/haitianos/2021/06_jul/txt/g1_63eeaffa-230f-11ed-b24f-6dbe51e79fca_2793.txt", "TXT")</f>
        <v/>
      </c>
    </row>
    <row r="566">
      <c r="A566" s="1" t="n">
        <v>564</v>
      </c>
      <c r="B566" t="n">
        <v>2021</v>
      </c>
      <c r="C566" s="2" t="n">
        <v>44386.03813144676</v>
      </c>
      <c r="D566" t="inlineStr">
        <is>
          <t>G1</t>
        </is>
      </c>
      <c r="E566" t="inlineStr">
        <is>
          <t>HAITIANOS</t>
        </is>
      </c>
      <c r="F566" t="inlineStr">
        <is>
          <t>MUNDO</t>
        </is>
      </c>
      <c r="G566" t="inlineStr">
        <is>
          <t>G1</t>
        </is>
      </c>
      <c r="H566" t="inlineStr">
        <is>
          <t>POLÍCIA DO HAITI ACUSA CIDADÃOS DA COLÔMBIA E DOS EUA DE ENVOLVIMENTO NO ASSASSINATO DO PRESIDENTE</t>
        </is>
      </c>
      <c r="I566" t="inlineStr">
        <is>
          <t>SEGUNDO DIRETOR POLICIAL, AO MENOS 28 PESSOAS PARTICIPARAM DO ASSASSINATO DE JOVENEL MOISE: 2 CIDADÃOS AMERICANOS NASCIDOS NO HAITI E 26 COLOMBIANOS.</t>
        </is>
      </c>
      <c r="J566">
        <f>HYPERLINK("https://g1.globo.com/mundo/noticia/2021/07/08/policia-do-haiti-acusa-cidadaos-da-colombia-e-dos-eua-de-envolvimento-no-assassinato-do-presidente.ghtml", "URL")</f>
        <v/>
      </c>
      <c r="K566">
        <f>HYPERLINK("https://raw.githubusercontent.com/marcosmapl/dataset_imigrantes/main/noticias_filtered/g1/haitianos/2021/06_jul/html/g1_5a65be6e-2310-11ed-b24f-6dbe51e79fca_2856.html", "HTML")</f>
        <v/>
      </c>
      <c r="L566">
        <f>HYPERLINK("https://raw.githubusercontent.com/marcosmapl/dataset_imigrantes/main/noticias_filtered/g1/haitianos/2021/06_jul/txt/g1_5a65be6e-2310-11ed-b24f-6dbe51e79fca_2856.txt", "TXT")</f>
        <v/>
      </c>
    </row>
    <row r="567">
      <c r="A567" s="1" t="n">
        <v>565</v>
      </c>
      <c r="B567" t="n">
        <v>2021</v>
      </c>
      <c r="C567" s="2" t="n">
        <v>44385.65146092592</v>
      </c>
      <c r="D567" t="inlineStr">
        <is>
          <t>G1</t>
        </is>
      </c>
      <c r="E567" t="inlineStr">
        <is>
          <t>HAITIANOS</t>
        </is>
      </c>
      <c r="F567" t="inlineStr">
        <is>
          <t>MUNDO</t>
        </is>
      </c>
      <c r="G567" t="inlineStr">
        <is>
          <t>G1</t>
        </is>
      </c>
      <c r="H567" t="inlineStr">
        <is>
          <t>POLÍCIA DO HAITI PRENDE 6 SUSPEITOS DE MATAR O PRESIDENTE</t>
        </is>
      </c>
      <c r="I567" t="inlineStr">
        <is>
          <t>UM DOS DETIDOS SERIA CIDADÃO DOS EUA, DIZ AGÊNCIA CITANDO O GOVERNO. EX-PREMIÊ HAITIANO DIVULGOU IMAGEM DO QUE ELE DIZ SER MERCENÁRIOS ESTRANGEIROS DETIDOS POR MATAR JOVENEL MOISE.</t>
        </is>
      </c>
      <c r="J567">
        <f>HYPERLINK("https://g1.globo.com/mundo/noticia/2021/07/08/policia-do-haiti-prende-mais-suspeitos-de-assassinar-o-presidente-diz-imprensa.ghtml", "URL")</f>
        <v/>
      </c>
      <c r="K567">
        <f>HYPERLINK("https://raw.githubusercontent.com/marcosmapl/dataset_imigrantes/main/noticias_filtered/g1/haitianos/2021/06_jul/html/g1_8e6a4052-22f4-11ed-b24f-6dbe51e79fca_1897.html", "HTML")</f>
        <v/>
      </c>
      <c r="L567">
        <f>HYPERLINK("https://raw.githubusercontent.com/marcosmapl/dataset_imigrantes/main/noticias_filtered/g1/haitianos/2021/06_jul/txt/g1_8e6a4052-22f4-11ed-b24f-6dbe51e79fca_1897.txt", "TXT")</f>
        <v/>
      </c>
    </row>
    <row r="568">
      <c r="A568" s="1" t="n">
        <v>566</v>
      </c>
      <c r="B568" t="n">
        <v>2021</v>
      </c>
      <c r="C568" s="2" t="n">
        <v>44385.54724546296</v>
      </c>
      <c r="D568" t="inlineStr">
        <is>
          <t>G1</t>
        </is>
      </c>
      <c r="E568" t="inlineStr">
        <is>
          <t>HAITIANOS</t>
        </is>
      </c>
      <c r="F568" t="inlineStr">
        <is>
          <t>MUNDO</t>
        </is>
      </c>
      <c r="G568" t="inlineStr">
        <is>
          <t>G1</t>
        </is>
      </c>
      <c r="H568" t="inlineStr">
        <is>
          <t>PRIMEIRO-MINISTRO ASSUME INTERINAMENTE GOVERNO DO HAITI</t>
        </is>
      </c>
      <c r="I568" t="inlineStr">
        <is>
          <t>CLAUDE JOSEPH ASSUME, PELO MENOS POR ENQUANTO, O COMANDO DO PAÍS. O PRAZO DELE COMO PRIMEIRO-MINISTRO JÁ ESTAVA CHEGANDO AO FIM, MAS COMO NÃO HÁ OUTRA PESSOA PARA LIDERAR O HAITI, ELE FARÁ ISSO PROVISORIAMENTE.</t>
        </is>
      </c>
      <c r="J568">
        <f>HYPERLINK("https://g1.globo.com/mundo/noticia/2021/07/08/primeiro-ministro-assume-interinamente-governo-do-haiti.ghtml", "URL")</f>
        <v/>
      </c>
      <c r="K568">
        <f>HYPERLINK("https://raw.githubusercontent.com/marcosmapl/dataset_imigrantes/main/noticias_filtered/g1/haitianos/2021/06_jul/html/g1_e54b83fc-230a-11ed-b24f-6dbe51e79fca_2533.html", "HTML")</f>
        <v/>
      </c>
      <c r="L568">
        <f>HYPERLINK("https://raw.githubusercontent.com/marcosmapl/dataset_imigrantes/main/noticias_filtered/g1/haitianos/2021/06_jul/txt/g1_e54b83fc-230a-11ed-b24f-6dbe51e79fca_2533.txt", "TXT")</f>
        <v/>
      </c>
    </row>
    <row r="569">
      <c r="A569" s="1" t="n">
        <v>567</v>
      </c>
      <c r="B569" t="n">
        <v>2021</v>
      </c>
      <c r="C569" s="2" t="n">
        <v>44385.44496020833</v>
      </c>
      <c r="D569" t="inlineStr">
        <is>
          <t>G1</t>
        </is>
      </c>
      <c r="E569" t="inlineStr">
        <is>
          <t>HAITIANOS</t>
        </is>
      </c>
      <c r="F569" t="inlineStr">
        <is>
          <t>MUNDO</t>
        </is>
      </c>
      <c r="G569" t="inlineStr">
        <is>
          <t>G1</t>
        </is>
      </c>
      <c r="H569" t="inlineStr">
        <is>
          <t>PAPA CONDENA 'TODA FORMA DE VIOLÊNCIA' APÓS HOMICÍDIO DE PRESIDENTE DO HAITI</t>
        </is>
      </c>
      <c r="I569" t="inlineStr">
        <is>
          <t>O PONTÍFICE DESEJOU 'UM FUTURO FRATERNAL, DE HARMONIA, SOLIDARIEDADE E PROSPERIDADE' PARA O POVO HAITIANO.</t>
        </is>
      </c>
      <c r="J569">
        <f>HYPERLINK("https://g1.globo.com/mundo/noticia/2021/07/08/papa-condena-toda-forma-de-violencia-apos-homicidio-de-presidente-do-haiti.ghtml", "URL")</f>
        <v/>
      </c>
      <c r="K569">
        <f>HYPERLINK("https://raw.githubusercontent.com/marcosmapl/dataset_imigrantes/main/noticias_filtered/g1/haitianos/2021/06_jul/html/g1_415d2d22-22f1-11ed-b24f-6dbe51e79fca_1742.html", "HTML")</f>
        <v/>
      </c>
      <c r="L569">
        <f>HYPERLINK("https://raw.githubusercontent.com/marcosmapl/dataset_imigrantes/main/noticias_filtered/g1/haitianos/2021/06_jul/txt/g1_415d2d22-22f1-11ed-b24f-6dbe51e79fca_1742.txt", "TXT")</f>
        <v/>
      </c>
    </row>
    <row r="570">
      <c r="A570" s="1" t="n">
        <v>568</v>
      </c>
      <c r="B570" t="n">
        <v>2021</v>
      </c>
      <c r="C570" s="2" t="n">
        <v>44385.05766322916</v>
      </c>
      <c r="D570" t="inlineStr">
        <is>
          <t>G1</t>
        </is>
      </c>
      <c r="E570" t="inlineStr">
        <is>
          <t>HAITIANOS</t>
        </is>
      </c>
      <c r="F570" t="inlineStr">
        <is>
          <t>MUNDO</t>
        </is>
      </c>
      <c r="G570" t="inlineStr">
        <is>
          <t>G1</t>
        </is>
      </c>
      <c r="H570" t="inlineStr">
        <is>
          <t>POLÍCIA DO HAITI ANUNCIA MORTE E PRISÃO DE SUSPEITOS PELO ASSASSINATO DO PRESIDENTE</t>
        </is>
      </c>
      <c r="I570" t="inlineStr">
        <is>
          <t>4 ENVOLVIDOS NO ATENTADO FORAM MORTOS E 2 FORAM PRESOS. JOVENEL MOISE FOI ASSASSINADO EM SUA CASA NA MADRUGADA E PRIMEIRA-DAMA, GRAVEMENTE FERIDA, FOI LEVADA AOS EUA PARA TRATAMENTO.</t>
        </is>
      </c>
      <c r="J570">
        <f>HYPERLINK("https://g1.globo.com/mundo/noticia/2021/07/07/policia-do-haiti-anuncia-morte-e-prisao-de-supostos-envolvidos-em-assassinato-de-presidente.ghtml", "URL")</f>
        <v/>
      </c>
      <c r="K570">
        <f>HYPERLINK("https://raw.githubusercontent.com/marcosmapl/dataset_imigrantes/main/noticias_filtered/g1/haitianos/2021/06_jul/html/g1_13056cbe-2319-11ed-b24f-6dbe51e79fca_3298.html", "HTML")</f>
        <v/>
      </c>
      <c r="L570">
        <f>HYPERLINK("https://raw.githubusercontent.com/marcosmapl/dataset_imigrantes/main/noticias_filtered/g1/haitianos/2021/06_jul/txt/g1_13056cbe-2319-11ed-b24f-6dbe51e79fca_3298.txt", "TXT")</f>
        <v/>
      </c>
    </row>
    <row r="571">
      <c r="A571" s="1" t="n">
        <v>569</v>
      </c>
      <c r="B571" t="n">
        <v>2021</v>
      </c>
      <c r="C571" s="2" t="n">
        <v>44384.8423262037</v>
      </c>
      <c r="D571" t="inlineStr">
        <is>
          <t>G1</t>
        </is>
      </c>
      <c r="E571" t="inlineStr">
        <is>
          <t>HAITIANOS</t>
        </is>
      </c>
      <c r="F571" t="inlineStr">
        <is>
          <t>SANTA CATARINA</t>
        </is>
      </c>
      <c r="G571" t="inlineStr">
        <is>
          <t>G1 SC</t>
        </is>
      </c>
      <c r="H571" t="inlineStr">
        <is>
          <t>EMPRESA É CONDENADA PELA JUSTIÇA A INDENIZAR TRABALHADOR HAITIANO TRATADO COM 'VAIAS E URROS' PELOS COLEGAS BRASILEIROS EM SC</t>
        </is>
      </c>
      <c r="I571" t="inlineStr">
        <is>
          <t>PARA  TRIBUNAL REGIONAL DO TRABALHO, HOUVE OMISSÃO DA PRODUTORA DE SUÍNOS ONDE A VÍTIMA TRABALHA. ELE TERÁ DE RECEBER R$ 10 MIL POR ASSÉDIO MORAL.</t>
        </is>
      </c>
      <c r="J571">
        <f>HYPERLINK("https://g1.globo.com/sc/santa-catarina/noticia/2021/07/07/empresa-e-condenada-pela-justica-a-indenizar-trabalhador-haitiano-tratado-com-vaias-e-urros-pelos-colegas-brasileiros-em-sc.ghtml", "URL")</f>
        <v/>
      </c>
      <c r="K571">
        <f>HYPERLINK("https://raw.githubusercontent.com/marcosmapl/dataset_imigrantes/main/noticias_filtered/g1/haitianos/2021/06_jul/html/g1_860fbf2e-22b1-11ed-b24f-6dbe51e79fca_1634.html", "HTML")</f>
        <v/>
      </c>
      <c r="L571">
        <f>HYPERLINK("https://raw.githubusercontent.com/marcosmapl/dataset_imigrantes/main/noticias_filtered/g1/haitianos/2021/06_jul/txt/g1_860fbf2e-22b1-11ed-b24f-6dbe51e79fca_1634.txt", "TXT")</f>
        <v/>
      </c>
    </row>
    <row r="572">
      <c r="A572" s="1" t="n">
        <v>570</v>
      </c>
      <c r="B572" t="n">
        <v>2021</v>
      </c>
      <c r="C572" s="2" t="n">
        <v>44384.5228724074</v>
      </c>
      <c r="D572" t="inlineStr">
        <is>
          <t>G1</t>
        </is>
      </c>
      <c r="E572" t="inlineStr">
        <is>
          <t>HAITIANOS</t>
        </is>
      </c>
      <c r="F572" t="inlineStr">
        <is>
          <t>MUNDO</t>
        </is>
      </c>
      <c r="G572" t="inlineStr">
        <is>
          <t>G1</t>
        </is>
      </c>
      <c r="H572" t="inlineStr">
        <is>
          <t>PRESIDENTE DO HAITI É ASSASSINADO A TIROS EM CASA; VEJA REPERCUSSÃO</t>
        </is>
      </c>
      <c r="I572" t="inlineStr">
        <is>
          <t>ITAMARATY DIVULGOU COMUNICADO NO QUAL DIZ ESPERAR QUE OS RESPONSÁVEIS SEJAM IDENTIFICADOS E LEVADOS À JUSTIÇA. PRESIDENTE DA COLÔMBIA PEDIU À OEA QUE ENVIE URGENTEMENTE UMA MISSÃO AO HAITI PARA 'PROTEGER A ORDEM DEMOCRÁTICA' NO PAÍS.</t>
        </is>
      </c>
      <c r="J572">
        <f>HYPERLINK("https://g1.globo.com/mundo/noticia/2021/07/07/presidente-do-haiti-e-assassinado-a-tiros-em-casa-veja-repercussao.ghtml", "URL")</f>
        <v/>
      </c>
      <c r="K572">
        <f>HYPERLINK("https://raw.githubusercontent.com/marcosmapl/dataset_imigrantes/main/noticias_filtered/g1/haitianos/2021/06_jul/html/g1_7e9a24a4-231b-11ed-b24f-6dbe51e79fca_3389.html", "HTML")</f>
        <v/>
      </c>
      <c r="L572">
        <f>HYPERLINK("https://raw.githubusercontent.com/marcosmapl/dataset_imigrantes/main/noticias_filtered/g1/haitianos/2021/06_jul/txt/g1_7e9a24a4-231b-11ed-b24f-6dbe51e79fca_3389.txt", "TXT")</f>
        <v/>
      </c>
    </row>
    <row r="573">
      <c r="A573" s="1" t="n">
        <v>571</v>
      </c>
      <c r="B573" t="n">
        <v>2021</v>
      </c>
      <c r="C573" s="2" t="n">
        <v>44384.43583243056</v>
      </c>
      <c r="D573" t="inlineStr">
        <is>
          <t>G1</t>
        </is>
      </c>
      <c r="E573" t="inlineStr">
        <is>
          <t>HAITIANOS</t>
        </is>
      </c>
      <c r="F573" t="inlineStr">
        <is>
          <t>MUNDO</t>
        </is>
      </c>
      <c r="G573" t="inlineStr">
        <is>
          <t>G1</t>
        </is>
      </c>
      <c r="H573" t="inlineStr">
        <is>
          <t>PRESIDENTE DO HAITI É ASSASSINADO A TIROS EM CASA</t>
        </is>
      </c>
      <c r="I573" t="inlineStr">
        <is>
          <t>PREMIÊ INTERINO DIZ QUE 'UM GRUPO DE INDIVÍDUOS NÃO IDENTIFICADOS, ALGUNS DOS QUAIS FALAVAM EM ESPANHOL, ATACOU A RESIDÊNCIA PRIVADA DO PRESIDENTE' E 'FERIU MORTALMENTE O CHEFE DE ESTADO'.</t>
        </is>
      </c>
      <c r="J573">
        <f>HYPERLINK("https://g1.globo.com/mundo/noticia/2021/07/07/presidente-do-haiti-e-morto-em-ataque-anuncia-primeiro-ministro.ghtml", "URL")</f>
        <v/>
      </c>
      <c r="K573">
        <f>HYPERLINK("https://raw.githubusercontent.com/marcosmapl/dataset_imigrantes/main/noticias_filtered/g1/haitianos/2021/06_jul/html/g1_765ad496-2307-11ed-b24f-6dbe51e79fca_2319.html", "HTML")</f>
        <v/>
      </c>
      <c r="L573">
        <f>HYPERLINK("https://raw.githubusercontent.com/marcosmapl/dataset_imigrantes/main/noticias_filtered/g1/haitianos/2021/06_jul/txt/g1_765ad496-2307-11ed-b24f-6dbe51e79fca_2319.txt", "TXT")</f>
        <v/>
      </c>
    </row>
    <row r="574">
      <c r="A574" s="1" t="n">
        <v>572</v>
      </c>
      <c r="B574" t="n">
        <v>2021</v>
      </c>
      <c r="C574" s="2" t="n">
        <v>44381.75708814815</v>
      </c>
      <c r="D574" t="inlineStr">
        <is>
          <t>G1</t>
        </is>
      </c>
      <c r="E574" t="inlineStr">
        <is>
          <t>VENEZUELANOS</t>
        </is>
      </c>
      <c r="F574" t="inlineStr">
        <is>
          <t>MUNDO</t>
        </is>
      </c>
      <c r="G574" t="inlineStr">
        <is>
          <t>REUTERS</t>
        </is>
      </c>
      <c r="H574" t="inlineStr">
        <is>
          <t>TRIBUNAL VENEZUELANO RESPONSABILIZA ATIVISTAS DE DIREITOS HUMANOS POR TERRORISMO</t>
        </is>
      </c>
      <c r="I574" t="inlineStr">
        <is>
          <t>UM TRIBUNAL VENEZUELANO RESPONSABILIZOU TRÊS DEFENSORES DOS DIREITOS HUMANOS POR TERRORISMO E ORDENOU UMA MEDIDA DE CUSTÓDIA CONTRA ELES. A DECISÃO OCORREU HORAS DEPOIS DE TEREM SIDO DETIDOS ENQUANTO DENUNCIAVAM ASSÉDIO, DIZ ADVOGADO.</t>
        </is>
      </c>
      <c r="J574">
        <f>HYPERLINK("https://g1.globo.com/mundo/noticia/2021/07/04/tribunal-venezuelano-responsabiliza-ativistas-de-direitos-humanos-por-terrorismo.ghtml", "URL")</f>
        <v/>
      </c>
      <c r="K574">
        <f>HYPERLINK("https://raw.githubusercontent.com/marcosmapl/dataset_imigrantes/main/noticias_filtered/g1/venezuelanos/2021/06_jul/html/g1_164e64ec-231f-11ed-b24f-6dbe51e79fca_3600.html", "HTML")</f>
        <v/>
      </c>
      <c r="L574">
        <f>HYPERLINK("https://raw.githubusercontent.com/marcosmapl/dataset_imigrantes/main/noticias_filtered/g1/venezuelanos/2021/06_jul/txt/g1_164e64ec-231f-11ed-b24f-6dbe51e79fca_3600.txt", "TXT")</f>
        <v/>
      </c>
    </row>
    <row r="575">
      <c r="A575" s="1" t="n">
        <v>573</v>
      </c>
      <c r="B575" t="n">
        <v>2021</v>
      </c>
      <c r="C575" s="2" t="n">
        <v>44381.65465932871</v>
      </c>
      <c r="D575" t="inlineStr">
        <is>
          <t>G1</t>
        </is>
      </c>
      <c r="E575" t="inlineStr">
        <is>
          <t>VENEZUELANOS</t>
        </is>
      </c>
      <c r="F575" t="inlineStr">
        <is>
          <t>RORAIMA</t>
        </is>
      </c>
      <c r="G575" t="inlineStr">
        <is>
          <t>G1 RR — BOA VISTA</t>
        </is>
      </c>
      <c r="H575" t="inlineStr">
        <is>
          <t>VENEZUELANO É MORTO E JOVEM FICA FERIDO APÓS TIROS EM VILA EM BOA VISTA</t>
        </is>
      </c>
      <c r="I575" t="inlineStr">
        <is>
          <t>NERSON DAVID ROJAS, DE 23 ANOS, CHEGOU A SER LEVADO AO PRONTO SOCORRO, MAS CHEGOU MORTO NA UNIDADE, INFORMOU A PM. CASO ACONTECEU NA NOITE DESTE SÁBADO (3).</t>
        </is>
      </c>
      <c r="J575">
        <f>HYPERLINK("https://g1.globo.com/rr/roraima/noticia/2021/07/04/venezuelano-e-morto-e-jovem-fica-ferido-apos-tiros-em-vila-em-boa-vista.ghtml", "URL")</f>
        <v/>
      </c>
      <c r="K575">
        <f>HYPERLINK("https://raw.githubusercontent.com/marcosmapl/dataset_imigrantes/main/noticias_filtered/g1/venezuelanos/2021/06_jul/html/g1_54e9d8bc-2315-11ed-b24f-6dbe51e79fca_3080.html", "HTML")</f>
        <v/>
      </c>
      <c r="L575">
        <f>HYPERLINK("https://raw.githubusercontent.com/marcosmapl/dataset_imigrantes/main/noticias_filtered/g1/venezuelanos/2021/06_jul/txt/g1_54e9d8bc-2315-11ed-b24f-6dbe51e79fca_3080.txt", "TXT")</f>
        <v/>
      </c>
    </row>
    <row r="576">
      <c r="A576" s="1" t="n">
        <v>574</v>
      </c>
      <c r="B576" t="n">
        <v>2021</v>
      </c>
      <c r="C576" s="2" t="n">
        <v>44379.5978125</v>
      </c>
      <c r="D576" t="inlineStr">
        <is>
          <t>A CRITICA</t>
        </is>
      </c>
      <c r="E576" t="inlineStr">
        <is>
          <t>VENEZUELANOS</t>
        </is>
      </c>
      <c r="F576" t="inlineStr">
        <is>
          <t>EDUCACAO</t>
        </is>
      </c>
      <c r="G576" t="inlineStr">
        <is>
          <t>PORTAL A CRÍTICA</t>
        </is>
      </c>
      <c r="H576" t="inlineStr">
        <is>
          <t>AUSTRÁLIA É O PRINCIPAL DESTINO DE MOTOCICLETAS EXPORTADAS EM MAIO PELO AMAZONAS</t>
        </is>
      </c>
      <c r="I576" t="inlineStr">
        <is>
          <t>NO INTERIOR, PRESIDENTE FIGUEIREDO CONTINUA SENDO O MAIOR EXPORTADOR, COM O PRODUTO "FERRO-LIGAS" PARA A CHINA</t>
        </is>
      </c>
      <c r="J576">
        <f>HYPERLINK("https://www.acritica.com/educacao/australia-e-o-principal-destino-de-motocicletas-exportadas-em-maio-pelo-amazonas-1.14660", "URL")</f>
        <v/>
      </c>
      <c r="K576">
        <f>HYPERLINK("https://raw.githubusercontent.com/marcosmapl/dataset_imigrantes/main/noticias_filtered/a_critica/venezuelanos/2021/06_jul/html/1.14660_1274.html", "HTML")</f>
        <v/>
      </c>
      <c r="L576">
        <f>HYPERLINK("https://raw.githubusercontent.com/marcosmapl/dataset_imigrantes/main/noticias_filtered/a_critica/venezuelanos/2021/06_jul/txt/1.14660_1274.txt", "TXT")</f>
        <v/>
      </c>
    </row>
    <row r="577">
      <c r="A577" s="1" t="n">
        <v>575</v>
      </c>
      <c r="B577" t="n">
        <v>2021</v>
      </c>
      <c r="C577" s="2" t="n">
        <v>44379.46980324074</v>
      </c>
      <c r="D577" t="inlineStr">
        <is>
          <t>A CRITICA</t>
        </is>
      </c>
      <c r="E577" t="inlineStr">
        <is>
          <t>VENEZUELANOS</t>
        </is>
      </c>
      <c r="F577" t="inlineStr">
        <is>
          <t>EDUCACAO</t>
        </is>
      </c>
      <c r="G577" t="inlineStr">
        <is>
          <t>PORTAL A CRÍTICA</t>
        </is>
      </c>
      <c r="H577" t="inlineStr">
        <is>
          <t>INDÍGENAS VENEZUELANOS ENTREGAM DOCUMENTO PARA GARANTIA DE ACESSO À EDUCAÇÃO</t>
        </is>
      </c>
      <c r="I577" t="inlineStr">
        <is>
          <t>EM PARCERIA COM A UNICEF E ALDEIAS INFANTIS SOS BRASIL, EDUCADORES INDÍGENAS DA ETNIA WARAO ENTREGARAM SOLICITAÇÃO PARA QUE O CONSELHO DE EDUCAÇÃO ESCOLAR INDÍGENA SE MANIFESTE SOBRE OS DIREITOS EDUCACIONAIS DE POVOS INDÍGENAS REFUGIADOS E MIGRANTES NO ESTADO</t>
        </is>
      </c>
      <c r="J577">
        <f>HYPERLINK("https://www.acritica.com/educacao/indigenas-venezuelanos-entregam-documento-para-garantia-de-acesso-a-educac-o-1.14676", "URL")</f>
        <v/>
      </c>
      <c r="K577">
        <f>HYPERLINK("https://raw.githubusercontent.com/marcosmapl/dataset_imigrantes/main/noticias_filtered/a_critica/venezuelanos/2021/06_jul/html/1.14676_489.html", "HTML")</f>
        <v/>
      </c>
      <c r="L577">
        <f>HYPERLINK("https://raw.githubusercontent.com/marcosmapl/dataset_imigrantes/main/noticias_filtered/a_critica/venezuelanos/2021/06_jul/txt/1.14676_489.txt", "TXT")</f>
        <v/>
      </c>
    </row>
    <row r="578">
      <c r="A578" s="1" t="n">
        <v>576</v>
      </c>
      <c r="B578" t="n">
        <v>2021</v>
      </c>
      <c r="C578" s="2" t="n">
        <v>44376.45347222222</v>
      </c>
      <c r="D578" t="inlineStr">
        <is>
          <t>PORTAL AMAZONIA</t>
        </is>
      </c>
      <c r="E578" t="inlineStr">
        <is>
          <t>VENEZUELANOS</t>
        </is>
      </c>
      <c r="F578" t="inlineStr">
        <is>
          <t>CULTURA,ARTE,RORAIMA,NOTÍCIAS,CIDADANIA</t>
        </is>
      </c>
      <c r="G578" t="inlineStr">
        <is>
          <t>REDAÇÃO - JORNALISMO@PORTALAMAZONIA.COM</t>
        </is>
      </c>
      <c r="H578" t="inlineStr">
        <is>
          <t>EXPOSIÇÃO REÚNE OBRAS DE PINTORES E ARTESÃOS VENEZUELANOS EM BOA VISTA</t>
        </is>
      </c>
      <c r="I578" t="inlineStr">
        <is>
          <t>TRABALHOS DE REFUGIADOS E MIGRANTES EXPOSTOS DERAM COR AO DIA MUNDIAL DO REFUGIADO NA CAPITAL RORAIMENSE</t>
        </is>
      </c>
      <c r="J578">
        <f>HYPERLINK("https://portalamazonia.com/noticias/exposicao-reune-obras-de-pintores-e-artesaos-venezuelanos-em-boa-vista", "URL")</f>
        <v/>
      </c>
      <c r="K578">
        <f>HYPERLINK("https://raw.githubusercontent.com/marcosmapl/dataset_imigrantes/main/noticias_filtered/portal_amazonia/venezuelanos/2021/05_jun/html/33063.78306_1567.html", "HTML")</f>
        <v/>
      </c>
      <c r="L578">
        <f>HYPERLINK("https://raw.githubusercontent.com/marcosmapl/dataset_imigrantes/main/noticias_filtered/portal_amazonia/venezuelanos/2021/05_jun/txt/33063.78306_1567.txt", "TXT")</f>
        <v/>
      </c>
    </row>
    <row r="579">
      <c r="A579" s="1" t="n">
        <v>577</v>
      </c>
      <c r="B579" t="n">
        <v>2021</v>
      </c>
      <c r="C579" s="2" t="n">
        <v>44376.12760114583</v>
      </c>
      <c r="D579" t="inlineStr">
        <is>
          <t>G1</t>
        </is>
      </c>
      <c r="E579" t="inlineStr">
        <is>
          <t>HAITIANOS</t>
        </is>
      </c>
      <c r="F579" t="inlineStr">
        <is>
          <t>MUNDO</t>
        </is>
      </c>
      <c r="G579" t="inlineStr">
        <is>
          <t>G1</t>
        </is>
      </c>
      <c r="H579" t="inlineStr">
        <is>
          <t>BARCO É ENCONTRADO À DERIVA COM 20 MORTOS NO CARIBE</t>
        </is>
      </c>
      <c r="I579" t="inlineStr">
        <is>
          <t>LOCAL É ROTA DE REFUGIADOS HAITIANOS E TAMBÉM DO TRÁFICO DE DROGAS. POLÍCIA NÃO ENCONTROU SINAIS DE VIOLÊNCIA E NÃO DIVULGOU A IDENTIDADE E A NACIONALIDADE DAS VÍTIMAS.</t>
        </is>
      </c>
      <c r="J579">
        <f>HYPERLINK("https://g1.globo.com/mundo/noticia/2021/06/29/barco-com-20-mortos-e-encontrado-a-deriva-no-caribe.ghtml", "URL")</f>
        <v/>
      </c>
      <c r="K579">
        <f>HYPERLINK("https://raw.githubusercontent.com/marcosmapl/dataset_imigrantes/main/noticias_filtered/g1/haitianos/2021/05_jun/html/g1_dc185b12-22f5-11ed-b24f-6dbe51e79fca_1976.html", "HTML")</f>
        <v/>
      </c>
      <c r="L579">
        <f>HYPERLINK("https://raw.githubusercontent.com/marcosmapl/dataset_imigrantes/main/noticias_filtered/g1/haitianos/2021/05_jun/txt/g1_dc185b12-22f5-11ed-b24f-6dbe51e79fca_1976.txt", "TXT")</f>
        <v/>
      </c>
    </row>
    <row r="580">
      <c r="A580" s="1" t="n">
        <v>578</v>
      </c>
      <c r="B580" t="n">
        <v>2021</v>
      </c>
      <c r="C580" s="2" t="n">
        <v>44373.03924570602</v>
      </c>
      <c r="D580" t="inlineStr">
        <is>
          <t>G1</t>
        </is>
      </c>
      <c r="E580" t="inlineStr">
        <is>
          <t>VENEZUELANOS</t>
        </is>
      </c>
      <c r="F580" t="inlineStr">
        <is>
          <t>ACRE</t>
        </is>
      </c>
      <c r="G580" t="inlineStr">
        <is>
          <t>G1 AC — RIO BRANCO</t>
        </is>
      </c>
      <c r="H580" t="inlineStr">
        <is>
          <t>INDÍGENAS VENEZUELANAS QUE VIVEM EM ABRIGO NO AC GANHAM COLETORES MENSTRUAIS EM AÇÃO NO DIA DO IMIGRANTE</t>
        </is>
      </c>
      <c r="I580" t="inlineStr">
        <is>
          <t>AÇÃO DA DEFENSORIA PÚBLICA DO ACRE ATENDEU MULHERES E ADOLESCENTES DA ETNIA WARAO QUE VIVEM NA CHÁCARA ALIANA, EM RIO BRANCO, NESTA SEXTA-FEIRA (25).</t>
        </is>
      </c>
      <c r="J580">
        <f>HYPERLINK("https://g1.globo.com/ac/acre/noticia/2021/06/25/indigenas-venezuelanas-que-vivem-em-abrigo-no-ac-ganham-coletores-menstruais-em-acao-no-dia-do-imigrante.ghtml", "URL")</f>
        <v/>
      </c>
      <c r="K580">
        <f>HYPERLINK("https://raw.githubusercontent.com/marcosmapl/dataset_imigrantes/main/noticias_filtered/g1/venezuelanos/2021/05_jun/html/g1_e4ef6184-230b-11ed-b24f-6dbe51e79fca_2594.html", "HTML")</f>
        <v/>
      </c>
      <c r="L580">
        <f>HYPERLINK("https://raw.githubusercontent.com/marcosmapl/dataset_imigrantes/main/noticias_filtered/g1/venezuelanos/2021/05_jun/txt/g1_e4ef6184-230b-11ed-b24f-6dbe51e79fca_2594.txt", "TXT")</f>
        <v/>
      </c>
    </row>
    <row r="581">
      <c r="A581" s="1" t="n">
        <v>579</v>
      </c>
      <c r="B581" t="n">
        <v>2021</v>
      </c>
      <c r="C581" s="2" t="n">
        <v>44372.9701671875</v>
      </c>
      <c r="D581" t="inlineStr">
        <is>
          <t>G1</t>
        </is>
      </c>
      <c r="E581" t="inlineStr">
        <is>
          <t>HAITIANOS</t>
        </is>
      </c>
      <c r="F581" t="inlineStr">
        <is>
          <t>SÃO PAULO</t>
        </is>
      </c>
      <c r="G581" t="inlineStr">
        <is>
          <t>SP2 E G1 SP — SÃO PAULO</t>
        </is>
      </c>
      <c r="H581" t="inlineStr">
        <is>
          <t>DIA DO IMIGRANTE: CIDADE DE SP TEM MAIS DE 360 MIL ESTRANGEIROS VIVENDO LEGALMENTE</t>
        </is>
      </c>
      <c r="I581" t="inlineStr">
        <is>
          <t>NACIONALIDADES COM MAIS PRESENÇA SÃO BOLIVIANA E CHINESA. NA BELA VISTA, CENTRO DE SÃO PAULO, HÁ UM CENTRO DE ACOLHIMENTO A IMIGRANTES, UM DOS ÚNICOS DESTE MODELO NO PAÍS.</t>
        </is>
      </c>
      <c r="J581">
        <f>HYPERLINK("https://g1.globo.com/sp/sao-paulo/noticia/2021/06/25/dia-do-imigrante-cidade-de-sp-tem-mais-de-360-mil-estrangeiros-vivendo-legalmente.ghtml", "URL")</f>
        <v/>
      </c>
      <c r="K581">
        <f>HYPERLINK("https://raw.githubusercontent.com/marcosmapl/dataset_imigrantes/main/noticias_filtered/g1/haitianos/2021/05_jun/html/g1_6d73db40-230a-11ed-b24f-6dbe51e79fca_2505.html", "HTML")</f>
        <v/>
      </c>
      <c r="L581">
        <f>HYPERLINK("https://raw.githubusercontent.com/marcosmapl/dataset_imigrantes/main/noticias_filtered/g1/haitianos/2021/05_jun/txt/g1_6d73db40-230a-11ed-b24f-6dbe51e79fca_2505.txt", "TXT")</f>
        <v/>
      </c>
    </row>
    <row r="582">
      <c r="A582" s="1" t="n">
        <v>580</v>
      </c>
      <c r="B582" t="n">
        <v>2021</v>
      </c>
      <c r="C582" s="2" t="n">
        <v>44372.41712982639</v>
      </c>
      <c r="D582" t="inlineStr">
        <is>
          <t>G1</t>
        </is>
      </c>
      <c r="E582" t="inlineStr">
        <is>
          <t>VENEZUELANOS</t>
        </is>
      </c>
      <c r="F582" t="inlineStr">
        <is>
          <t>RORAIMA</t>
        </is>
      </c>
      <c r="G582" t="inlineStr">
        <is>
          <t>G1 RR — BOA VISTA</t>
        </is>
      </c>
      <c r="H582" t="inlineStr">
        <is>
          <t>UFRR ABRE INSCRIÇÕES PARA CURSO BÁSICO E INTERMEDIÁRIO DE LÍNGUA VENEZUELANA DE SINAIS</t>
        </is>
      </c>
      <c r="I582" t="inlineStr">
        <is>
          <t>AS INSCRIÇÕES DEVEM SER FEITAS PELA INTERNET ATÉ O DIA 10 DE JULHO. AS AULAS VÃO ACONTECER DE 31 DE AGOSTO A 4 DE OUTUBRO DESSE ANO</t>
        </is>
      </c>
      <c r="J582">
        <f>HYPERLINK("https://g1.globo.com/rr/roraima/noticia/2021/06/25/ufrr-abre-inscricoes-para-curso-basico-e-intermediario-de-lingua-venezuelana-de-sinais.ghtml", "URL")</f>
        <v/>
      </c>
      <c r="K582">
        <f>HYPERLINK("https://raw.githubusercontent.com/marcosmapl/dataset_imigrantes/main/noticias_filtered/g1/venezuelanos/2021/05_jun/html/g1_b38459e0-2312-11ed-b24f-6dbe51e79fca_2976.html", "HTML")</f>
        <v/>
      </c>
      <c r="L582">
        <f>HYPERLINK("https://raw.githubusercontent.com/marcosmapl/dataset_imigrantes/main/noticias_filtered/g1/venezuelanos/2021/05_jun/txt/g1_b38459e0-2312-11ed-b24f-6dbe51e79fca_2976.txt", "TXT")</f>
        <v/>
      </c>
    </row>
    <row r="583">
      <c r="A583" s="1" t="n">
        <v>581</v>
      </c>
      <c r="B583" t="n">
        <v>2021</v>
      </c>
      <c r="C583" s="2" t="n">
        <v>44372.3754694676</v>
      </c>
      <c r="D583" t="inlineStr">
        <is>
          <t>G1</t>
        </is>
      </c>
      <c r="E583" t="inlineStr">
        <is>
          <t>AMBOS</t>
        </is>
      </c>
      <c r="F583" t="inlineStr">
        <is>
          <t>SÃO PAULO</t>
        </is>
      </c>
      <c r="G583" t="inlineStr">
        <is>
          <t>BÁRBARA MUNIZ VIEIRA, G1 SP — SÃO PAULO</t>
        </is>
      </c>
      <c r="H583" t="inlineStr">
        <is>
          <t>DIA DO IMIGRANTE: Nº DE ESTUDANTES DE OUTROS PAÍSES AUMENTA EM 2021 EM SP; CIDADE TEM ALUNOS DE 97 NAÇÕES NA REDE MUNICIPAL</t>
        </is>
      </c>
      <c r="I583" t="inlineStr">
        <is>
          <t>NACIONALIDADES COM MAIS PRESENÇA SÃO BOLIVIANA, HAITIANA E VENEZUELANA. PARA ESPECIALISTA EM MIGRAÇÕES INTERNACIONAIS E EDUCAÇÃO, 'CRIANÇA É A PARTE MAIS VULNERÁVEL DENTRO DO PROCESSO DE IMIGRAÇÃO'.</t>
        </is>
      </c>
      <c r="J583">
        <f>HYPERLINK("https://g1.globo.com/sp/sao-paulo/noticia/2021/06/25/dia-do-imigrante-no-de-estudantes-de-outros-paises-aumenta-em-2021-em-sp-cidade-tem-alunos-de-97-nacoes-na-rede-municipal.ghtml", "URL")</f>
        <v/>
      </c>
      <c r="K583">
        <f>HYPERLINK("https://raw.githubusercontent.com/marcosmapl/dataset_imigrantes/main/noticias_filtered/g1/ambos/2021/05_jun/html/g1_fdb91882-2328-11ed-b24f-6dbe51e79fca_4093.html", "HTML")</f>
        <v/>
      </c>
      <c r="L583">
        <f>HYPERLINK("https://raw.githubusercontent.com/marcosmapl/dataset_imigrantes/main/noticias_filtered/g1/ambos/2021/05_jun/txt/g1_fdb91882-2328-11ed-b24f-6dbe51e79fca_4093.txt", "TXT")</f>
        <v/>
      </c>
    </row>
    <row r="584">
      <c r="A584" s="1" t="n">
        <v>582</v>
      </c>
      <c r="B584" t="n">
        <v>2021</v>
      </c>
      <c r="C584" s="2" t="n">
        <v>44372.2437765162</v>
      </c>
      <c r="D584" t="inlineStr">
        <is>
          <t>G1</t>
        </is>
      </c>
      <c r="E584" t="inlineStr">
        <is>
          <t>HAITIANOS</t>
        </is>
      </c>
      <c r="F584" t="inlineStr">
        <is>
          <t>AGENDA DO DIA</t>
        </is>
      </c>
      <c r="G584" t="inlineStr">
        <is>
          <t>G1</t>
        </is>
      </c>
      <c r="H584" t="inlineStr">
        <is>
          <t>SEXTA-FEIRA, 25 DE JUNHO</t>
        </is>
      </c>
      <c r="I584" t="inlineStr">
        <is>
          <t>VEJA O QUE VOCÊ PRECISA SABER PARA COMEÇAR O DIA BEM INFORMADO.</t>
        </is>
      </c>
      <c r="J584">
        <f>HYPERLINK("https://g1.globo.com/agenda-do-dia/noticia/2021/06/25/sexta-feira-25-de-junho.ghtml", "URL")</f>
        <v/>
      </c>
      <c r="K584">
        <f>HYPERLINK("https://raw.githubusercontent.com/marcosmapl/dataset_imigrantes/main/noticias_filtered/g1/haitianos/2021/05_jun/html/g1_5346fc68-232b-11ed-b24f-6dbe51e79fca_4238.html", "HTML")</f>
        <v/>
      </c>
      <c r="L584">
        <f>HYPERLINK("https://raw.githubusercontent.com/marcosmapl/dataset_imigrantes/main/noticias_filtered/g1/haitianos/2021/05_jun/txt/g1_5346fc68-232b-11ed-b24f-6dbe51e79fca_4238.txt", "TXT")</f>
        <v/>
      </c>
    </row>
    <row r="585">
      <c r="A585" s="1" t="n">
        <v>583</v>
      </c>
      <c r="B585" t="n">
        <v>2021</v>
      </c>
      <c r="C585" s="2" t="n">
        <v>44371.02749585648</v>
      </c>
      <c r="D585" t="inlineStr">
        <is>
          <t>G1</t>
        </is>
      </c>
      <c r="E585" t="inlineStr">
        <is>
          <t>VENEZUELANOS</t>
        </is>
      </c>
      <c r="F585" t="inlineStr">
        <is>
          <t>RONDÔNIA</t>
        </is>
      </c>
      <c r="G585" t="inlineStr">
        <is>
          <t>G1 RO</t>
        </is>
      </c>
      <c r="H585" t="inlineStr">
        <is>
          <t>VENEZUELANOS RELATAM SERVIÇO PRECÁRIO OFERECIDO POR EMPRESA DE VIAGEM E TURISMO EM RO</t>
        </is>
      </c>
      <c r="I585" t="inlineStr">
        <is>
          <t>O GRUPO, FORMADO POR ADULTOS E CRIANÇAS, RELATA QUE A VIAGEM DEVERIA DURAR UM DIA E MEIO, MAS SE PROLONGOU POR CINCO DIAS E ELES GASTARAM TODO O DINHEIRO QUE TINHAM.</t>
        </is>
      </c>
      <c r="J585">
        <f>HYPERLINK("https://g1.globo.com/ro/rondonia/noticia/2021/06/23/venezuelanos-relatam-servico-precario-oferecido-por-empresa-de-viagem-e-turismo-em-ro.ghtml", "URL")</f>
        <v/>
      </c>
      <c r="K585">
        <f>HYPERLINK("https://raw.githubusercontent.com/marcosmapl/dataset_imigrantes/main/noticias_filtered/g1/venezuelanos/2021/05_jun/html/g1_4942d29a-2318-11ed-b24f-6dbe51e79fca_3252.html", "HTML")</f>
        <v/>
      </c>
      <c r="L585">
        <f>HYPERLINK("https://raw.githubusercontent.com/marcosmapl/dataset_imigrantes/main/noticias_filtered/g1/venezuelanos/2021/05_jun/txt/g1_4942d29a-2318-11ed-b24f-6dbe51e79fca_3252.txt", "TXT")</f>
        <v/>
      </c>
    </row>
    <row r="586">
      <c r="A586" s="1" t="n">
        <v>584</v>
      </c>
      <c r="B586" t="n">
        <v>2021</v>
      </c>
      <c r="C586" s="2" t="n">
        <v>44370.86049178241</v>
      </c>
      <c r="D586" t="inlineStr">
        <is>
          <t>G1</t>
        </is>
      </c>
      <c r="E586" t="inlineStr">
        <is>
          <t>VENEZUELANOS</t>
        </is>
      </c>
      <c r="F586" t="inlineStr">
        <is>
          <t>PARÁ</t>
        </is>
      </c>
      <c r="G586" t="inlineStr">
        <is>
          <t>G1 PA — BELÉM</t>
        </is>
      </c>
      <c r="H586" t="inlineStr">
        <is>
          <t>VENEZUELANOS FICAM PRESOS NO AEROPORTO DE BELÉM APÓS DESEMBARCAR DE VOO PARA SUDESTE DO PAÍS</t>
        </is>
      </c>
      <c r="I586" t="inlineStr">
        <is>
          <t>ELES FORAM IMPEDIDOS DE SEGUIR VIAGEM, DEPOIS DE LOTAÇÃO MÁXIMA NO VOO QUE OS LEVARIA PARA OUTRAS CIDADES DO BRASIL.</t>
        </is>
      </c>
      <c r="J586">
        <f>HYPERLINK("https://g1.globo.com/pa/para/noticia/2021/06/23/venezuelanos-ficam-presos-no-aeroporto-de-belem-apos-desembarcar-de-voo-para-o-sudeste-do-pais.ghtml", "URL")</f>
        <v/>
      </c>
      <c r="K586">
        <f>HYPERLINK("https://raw.githubusercontent.com/marcosmapl/dataset_imigrantes/main/noticias_filtered/g1/venezuelanos/2021/05_jun/html/g1_992131e6-2311-11ed-b24f-6dbe51e79fca_2924.html", "HTML")</f>
        <v/>
      </c>
      <c r="L586">
        <f>HYPERLINK("https://raw.githubusercontent.com/marcosmapl/dataset_imigrantes/main/noticias_filtered/g1/venezuelanos/2021/05_jun/txt/g1_992131e6-2311-11ed-b24f-6dbe51e79fca_2924.txt", "TXT")</f>
        <v/>
      </c>
    </row>
    <row r="587">
      <c r="A587" s="1" t="n">
        <v>585</v>
      </c>
      <c r="B587" t="n">
        <v>2021</v>
      </c>
      <c r="C587" s="2" t="n">
        <v>44370.76779061343</v>
      </c>
      <c r="D587" t="inlineStr">
        <is>
          <t>G1</t>
        </is>
      </c>
      <c r="E587" t="inlineStr">
        <is>
          <t>VENEZUELANOS</t>
        </is>
      </c>
      <c r="F587" t="inlineStr">
        <is>
          <t>MARANHÃO</t>
        </is>
      </c>
      <c r="G587" t="inlineStr">
        <is>
          <t>G1 MA</t>
        </is>
      </c>
      <c r="H587" t="inlineStr">
        <is>
          <t>INDÍGENAS VENEZUELANOS SÃO VACINADOS CONTRA A COVID-19 EM SÃO LUÍS</t>
        </is>
      </c>
      <c r="I587" t="inlineStr">
        <is>
          <t>A VACINAÇÃO DOS IMIGRANTES TEVE INÍCIO NA ÚLTIMA SEGUNDA-FEIRA (21) E, DE ACORDO COM O GOVERNO ESTADUAL, ESSE PÚBLICO É CONSIDERADO DE RISCO POR ESTAR DIARIAMENTE NAS RUAS.</t>
        </is>
      </c>
      <c r="J587">
        <f>HYPERLINK("https://g1.globo.com/ma/maranhao/noticia/2021/06/23/indigenas-venezuelanos-sao-vacinados-contra-a-covid-19-em-sao-luis.ghtml", "URL")</f>
        <v/>
      </c>
      <c r="K587">
        <f>HYPERLINK("https://raw.githubusercontent.com/marcosmapl/dataset_imigrantes/main/noticias_filtered/g1/venezuelanos/2021/05_jun/html/g1_f63ab012-2313-11ed-b24f-6dbe51e79fca_3037.html", "HTML")</f>
        <v/>
      </c>
      <c r="L587">
        <f>HYPERLINK("https://raw.githubusercontent.com/marcosmapl/dataset_imigrantes/main/noticias_filtered/g1/venezuelanos/2021/05_jun/txt/g1_f63ab012-2313-11ed-b24f-6dbe51e79fca_3037.txt", "TXT")</f>
        <v/>
      </c>
    </row>
    <row r="588">
      <c r="A588" s="1" t="n">
        <v>586</v>
      </c>
      <c r="B588" t="n">
        <v>2021</v>
      </c>
      <c r="C588" s="2" t="n">
        <v>44370.62557405092</v>
      </c>
      <c r="D588" t="inlineStr">
        <is>
          <t>G1</t>
        </is>
      </c>
      <c r="E588" t="inlineStr">
        <is>
          <t>HAITIANOS</t>
        </is>
      </c>
      <c r="F588" t="inlineStr">
        <is>
          <t>ACRE</t>
        </is>
      </c>
      <c r="G588" t="inlineStr">
        <is>
          <t>IRYÁ RODRIGUES, G1 AC — RIO BRANCO</t>
        </is>
      </c>
      <c r="H588" t="inlineStr">
        <is>
          <t>IMPEDIDOS DE ATRAVESSAR A FRONTEIRA PELA POLÍCIA PERUANA, CERCA DE 80 IMIGRANTES FICAM RETIDOS NO ACRE</t>
        </is>
      </c>
      <c r="I588" t="inlineStr">
        <is>
          <t>IMIGRANTES CHEGARAM EM ASSIS BRASIL, NO INTERIOR DO ACRE, NO DOMINGO (20) E TENTARAM PASSAR PARA O PAÍS VIZINHO, MAS FORAM IMPEDIDOS PELA BARREIRA POLICIAL PERUANA NA PONTE DA INTEGRAÇÃO. GRUPO, DE MAIORIA HAITIANA E AFRICANA, ESTÁ EM HOTÉIS DA CIDADE ACREANA.</t>
        </is>
      </c>
      <c r="J588">
        <f>HYPERLINK("https://g1.globo.com/ac/acre/noticia/2021/06/23/impedidos-de-atravessar-a-fronteira-pela-policia-peruana-cerca-de-80-imigrantes-ficam-retidos-no-acre.ghtml", "URL")</f>
        <v/>
      </c>
      <c r="K588">
        <f>HYPERLINK("https://raw.githubusercontent.com/marcosmapl/dataset_imigrantes/main/noticias_filtered/g1/haitianos/2021/05_jun/html/g1_e4b26644-2306-11ed-b24f-6dbe51e79fca_2284.html", "HTML")</f>
        <v/>
      </c>
      <c r="L588">
        <f>HYPERLINK("https://raw.githubusercontent.com/marcosmapl/dataset_imigrantes/main/noticias_filtered/g1/haitianos/2021/05_jun/txt/g1_e4b26644-2306-11ed-b24f-6dbe51e79fca_2284.txt", "TXT")</f>
        <v/>
      </c>
    </row>
    <row r="589">
      <c r="A589" s="1" t="n">
        <v>587</v>
      </c>
      <c r="B589" t="n">
        <v>2021</v>
      </c>
      <c r="C589" s="2" t="n">
        <v>44369.73145759259</v>
      </c>
      <c r="D589" t="inlineStr">
        <is>
          <t>G1</t>
        </is>
      </c>
      <c r="E589" t="inlineStr">
        <is>
          <t>AMBOS</t>
        </is>
      </c>
      <c r="F589" t="inlineStr">
        <is>
          <t>POLÍTICA</t>
        </is>
      </c>
      <c r="G589" t="inlineStr">
        <is>
          <t>WELLINGTON HANNA, TV GLOBO — BRASÍLIA</t>
        </is>
      </c>
      <c r="H589" t="inlineStr">
        <is>
          <t>BRASIL TEM 60 MIL REFUGIADOS, DIZ MINISTÉRIO DA JUSTIÇA; 26 MIL FORAM RECONHECIDOS EM 2020</t>
        </is>
      </c>
      <c r="I589" t="inlineStr">
        <is>
          <t>SEIS EM CADA DEZ PEDIDOS VIERAM DE VENEZUELANOS, E A MAIOR PARTE FOI REGISTRADA NA REGIÃO NORTE. CONSELHO TAMBÉM REGISTROU 6,6 MIL SOLICITAÇÕES DE HAITIANOS.</t>
        </is>
      </c>
      <c r="J589">
        <f>HYPERLINK("https://g1.globo.com/politica/noticia/2021/06/22/brasil-tem-50-mil-refugiados-diz-ministerio-da-justica-26-mil-foram-reconhecidos-em-2020.ghtml", "URL")</f>
        <v/>
      </c>
      <c r="K589">
        <f>HYPERLINK("https://raw.githubusercontent.com/marcosmapl/dataset_imigrantes/main/noticias_filtered/g1/ambos/2021/05_jun/html/g1_a7dce3b4-22f9-11ed-b24f-6dbe51e79fca_2176.html", "HTML")</f>
        <v/>
      </c>
      <c r="L589">
        <f>HYPERLINK("https://raw.githubusercontent.com/marcosmapl/dataset_imigrantes/main/noticias_filtered/g1/ambos/2021/05_jun/txt/g1_a7dce3b4-22f9-11ed-b24f-6dbe51e79fca_2176.txt", "TXT")</f>
        <v/>
      </c>
    </row>
    <row r="590">
      <c r="A590" s="1" t="n">
        <v>588</v>
      </c>
      <c r="B590" t="n">
        <v>2021</v>
      </c>
      <c r="C590" s="2" t="n">
        <v>44367.6898659838</v>
      </c>
      <c r="D590" t="inlineStr">
        <is>
          <t>G1</t>
        </is>
      </c>
      <c r="E590" t="inlineStr">
        <is>
          <t>VENEZUELANOS</t>
        </is>
      </c>
      <c r="F590" t="inlineStr">
        <is>
          <t>AMAZONAS</t>
        </is>
      </c>
      <c r="G590" t="inlineStr">
        <is>
          <t>PATRICK MARQUES, G1 AM</t>
        </is>
      </c>
      <c r="H590" t="inlineStr">
        <is>
          <t>VENEZUELANO É MORTO COM GOLPES DE BARRA DE FERRO EM MANAUS</t>
        </is>
      </c>
      <c r="I590" t="inlineStr">
        <is>
          <t>CRIME ACONTECEU EM UM BAR APÓS DISCUSSÃO ENTRE A VÍTIMA E O SUSPEITO QUE FUGIU DO LOCAL.</t>
        </is>
      </c>
      <c r="J590">
        <f>HYPERLINK("https://g1.globo.com/am/amazonas/noticia/2021/06/20/venezuelano-e-morto-com-golpes-de-barra-de-ferro-em-manaus.ghtml", "URL")</f>
        <v/>
      </c>
      <c r="K590">
        <f>HYPERLINK("https://raw.githubusercontent.com/marcosmapl/dataset_imigrantes/main/noticias_filtered/g1/venezuelanos/2021/05_jun/html/g1_37f70338-2329-11ed-b24f-6dbe51e79fca_4103.html", "HTML")</f>
        <v/>
      </c>
      <c r="L590">
        <f>HYPERLINK("https://raw.githubusercontent.com/marcosmapl/dataset_imigrantes/main/noticias_filtered/g1/venezuelanos/2021/05_jun/txt/g1_37f70338-2329-11ed-b24f-6dbe51e79fca_4103.txt", "TXT")</f>
        <v/>
      </c>
    </row>
    <row r="591">
      <c r="A591" s="1" t="n">
        <v>589</v>
      </c>
      <c r="B591" t="n">
        <v>2021</v>
      </c>
      <c r="C591" s="2" t="n">
        <v>44367.67812199074</v>
      </c>
      <c r="D591" t="inlineStr">
        <is>
          <t>G1</t>
        </is>
      </c>
      <c r="E591" t="inlineStr">
        <is>
          <t>VENEZUELANOS</t>
        </is>
      </c>
      <c r="F591" t="inlineStr">
        <is>
          <t>RORAIMA</t>
        </is>
      </c>
      <c r="G591" t="inlineStr">
        <is>
          <t>G1 RR — BOA VISTA</t>
        </is>
      </c>
      <c r="H591" t="inlineStr">
        <is>
          <t>INDÍGENAS VENEZUELANOS SÃO VACINADOS CONTRA A COVID-19 EM RORAIMA</t>
        </is>
      </c>
      <c r="I591" t="inlineStr">
        <is>
          <t>AO TODO, 754 INDÍGENAS DOS QUATRO ABRIGOS DA CAPITAL SERÃO VACINADOS, INFORMOU A OPERAÇÃO ACOLHIDA.</t>
        </is>
      </c>
      <c r="J591">
        <f>HYPERLINK("https://g1.globo.com/rr/roraima/noticia/2021/06/20/indigenas-venezuelanos-sao-vacinados-contra-a-covid-19-em-roraima.ghtml", "URL")</f>
        <v/>
      </c>
      <c r="K591">
        <f>HYPERLINK("https://raw.githubusercontent.com/marcosmapl/dataset_imigrantes/main/noticias_filtered/g1/venezuelanos/2021/05_jun/html/g1_406c06cc-2319-11ed-b24f-6dbe51e79fca_3305.html", "HTML")</f>
        <v/>
      </c>
      <c r="L591">
        <f>HYPERLINK("https://raw.githubusercontent.com/marcosmapl/dataset_imigrantes/main/noticias_filtered/g1/venezuelanos/2021/05_jun/txt/g1_406c06cc-2319-11ed-b24f-6dbe51e79fca_3305.txt", "TXT")</f>
        <v/>
      </c>
    </row>
    <row r="592">
      <c r="A592" s="1" t="n">
        <v>590</v>
      </c>
      <c r="B592" t="n">
        <v>2021</v>
      </c>
      <c r="C592" s="2" t="n">
        <v>44367.5883912037</v>
      </c>
      <c r="D592" t="inlineStr">
        <is>
          <t>A CRITICA</t>
        </is>
      </c>
      <c r="E592" t="inlineStr">
        <is>
          <t>VENEZUELANOS</t>
        </is>
      </c>
      <c r="F592" t="inlineStr">
        <is>
          <t>POLICIA</t>
        </is>
      </c>
      <c r="G592" t="inlineStr">
        <is>
          <t>KAROL ROCHA</t>
        </is>
      </c>
      <c r="H592" t="inlineStr">
        <is>
          <t>NOITE DE HOMICÍDIOS TERMINA COM CINCO ASSASSINADOS EM MANAUS</t>
        </is>
      </c>
      <c r="I592" t="inlineStr">
        <is>
          <t>OS CRIMES OCORRERAM NAS ZONAS NORTE, LESTE E CENTRO SUL DA CAPITAL ENTRE A NOITE DE SÁBADO (19) E A MADRUGADA DE DOMINGO (20)</t>
        </is>
      </c>
      <c r="J592">
        <f>HYPERLINK("https://www.acritica.com/policia/noite-de-homicidios-termina-com-cinco-assassinados-em-manaus-1.15107", "URL")</f>
        <v/>
      </c>
      <c r="K592">
        <f>HYPERLINK("https://raw.githubusercontent.com/marcosmapl/dataset_imigrantes/main/noticias_filtered/a_critica/venezuelanos/2021/05_jun/html/1.15107_1372.html", "HTML")</f>
        <v/>
      </c>
      <c r="L592">
        <f>HYPERLINK("https://raw.githubusercontent.com/marcosmapl/dataset_imigrantes/main/noticias_filtered/a_critica/venezuelanos/2021/05_jun/txt/1.15107_1372.txt", "TXT")</f>
        <v/>
      </c>
    </row>
    <row r="593">
      <c r="A593" s="1" t="n">
        <v>591</v>
      </c>
      <c r="B593" t="n">
        <v>2021</v>
      </c>
      <c r="C593" s="2" t="n">
        <v>44367.4587670949</v>
      </c>
      <c r="D593" t="inlineStr">
        <is>
          <t>G1</t>
        </is>
      </c>
      <c r="E593" t="inlineStr">
        <is>
          <t>VENEZUELANOS</t>
        </is>
      </c>
      <c r="F593" t="inlineStr">
        <is>
          <t>RORAIMA</t>
        </is>
      </c>
      <c r="G593" t="inlineStr">
        <is>
          <t>G1 RR E REDE AMAZÔNICA — BOA VISTA</t>
        </is>
      </c>
      <c r="H593" t="inlineStr">
        <is>
          <t>APAIXONADO POR ANIMAIS, VENEZUELANO MORADOR DE RUA ADOTA OITO CACHORROS EM BOA VISTA</t>
        </is>
      </c>
      <c r="I593" t="inlineStr">
        <is>
          <t>ROLANDO MELENDE, DE 35 ANOS, VENDE ARTESANATO NAS RUAS DA CIDADE E PARTE DO QUE GANHA É USADO PARA CUIDAR DOS CACHORROS.</t>
        </is>
      </c>
      <c r="J593">
        <f>HYPERLINK("https://g1.globo.com/rr/roraima/noticia/2021/06/20/apaixonado-por-animais-venezuelano-morador-de-rua-adota-oito-cachorros-em-boa-vista.ghtml", "URL")</f>
        <v/>
      </c>
      <c r="K593">
        <f>HYPERLINK("https://raw.githubusercontent.com/marcosmapl/dataset_imigrantes/main/noticias_filtered/g1/venezuelanos/2021/05_jun/html/g1_7d31fd72-2315-11ed-b24f-6dbe51e79fca_3088.html", "HTML")</f>
        <v/>
      </c>
      <c r="L593">
        <f>HYPERLINK("https://raw.githubusercontent.com/marcosmapl/dataset_imigrantes/main/noticias_filtered/g1/venezuelanos/2021/05_jun/txt/g1_7d31fd72-2315-11ed-b24f-6dbe51e79fca_3088.txt", "TXT")</f>
        <v/>
      </c>
    </row>
    <row r="594">
      <c r="A594" s="1" t="n">
        <v>592</v>
      </c>
      <c r="B594" t="n">
        <v>2021</v>
      </c>
      <c r="C594" s="2" t="n">
        <v>44365.3755912037</v>
      </c>
      <c r="D594" t="inlineStr">
        <is>
          <t>G1</t>
        </is>
      </c>
      <c r="E594" t="inlineStr">
        <is>
          <t>VENEZUELANOS</t>
        </is>
      </c>
      <c r="F594" t="inlineStr">
        <is>
          <t>MUNDO</t>
        </is>
      </c>
      <c r="G594" t="inlineStr">
        <is>
          <t>FERNANDA BERLINCK, G1 — BOA VISTA</t>
        </is>
      </c>
      <c r="H594" t="inlineStr">
        <is>
          <t>ABRIGADO EM RORAIMA, REFUGIADO VENEZUELANO SE CASA COM ANTIGA COMPANHEIRA E SONHA EM VOLTAR A ATUAR COMO ADVOGADO</t>
        </is>
      </c>
      <c r="I594" t="inlineStr">
        <is>
          <t>ISRAEL ALVAREZ DE ARMAS VIVE COM A ESPOSA EM UM DOS 13 ABRIGOS DA OPERAÇÃO ACOLHIDA, EM BOA VISTA. ELE VEIO AO BRASIL EM ABRIL DE 2019 EM BUSCA DE ASILO POLÍTICO.</t>
        </is>
      </c>
      <c r="J594">
        <f>HYPERLINK("https://g1.globo.com/mundo/noticia/2021/06/18/abrigado-em-roraima-refugiado-venezuelano-se-casa-com-antiga-companheira-e-sonha-em-voltar-a-atuar-como-advogado.ghtml", "URL")</f>
        <v/>
      </c>
      <c r="K594">
        <f>HYPERLINK("https://raw.githubusercontent.com/marcosmapl/dataset_imigrantes/main/noticias_filtered/g1/venezuelanos/2021/05_jun/html/g1_a87700e8-2326-11ed-b24f-6dbe51e79fca_3990.html", "HTML")</f>
        <v/>
      </c>
      <c r="L594">
        <f>HYPERLINK("https://raw.githubusercontent.com/marcosmapl/dataset_imigrantes/main/noticias_filtered/g1/venezuelanos/2021/05_jun/txt/g1_a87700e8-2326-11ed-b24f-6dbe51e79fca_3990.txt", "TXT")</f>
        <v/>
      </c>
    </row>
    <row r="595">
      <c r="A595" s="1" t="n">
        <v>593</v>
      </c>
      <c r="B595" t="n">
        <v>2021</v>
      </c>
      <c r="C595" s="2" t="n">
        <v>44365.04454630787</v>
      </c>
      <c r="D595" t="inlineStr">
        <is>
          <t>G1</t>
        </is>
      </c>
      <c r="E595" t="inlineStr">
        <is>
          <t>VENEZUELANOS</t>
        </is>
      </c>
      <c r="F595" t="inlineStr">
        <is>
          <t>MUNDO</t>
        </is>
      </c>
      <c r="G595" t="inlineStr">
        <is>
          <t>FRANCE PRESSE</t>
        </is>
      </c>
      <c r="H595" t="inlineStr">
        <is>
          <t>EUA FLEXIBILIZAM SANÇÕES CONTRA O GOVERNO MADURO NA VENEZUELA PARA O COMBATE À COVID-19</t>
        </is>
      </c>
      <c r="I595" t="inlineStr">
        <is>
          <t>ENTREGA DE MATERIAIS E INSUMOS PARA COMBATER O CORONAVÍRUS FICA PERMITIDA, MAS NEGÓCIOS COM EMPRESAS VENEZUELANAS INCLUÍDAS NAS SANÇÕES, NÃO. PAÍS TEM VACINAÇÃO LENTA E ALTO NÚMERO DE CASOS DE COVID.</t>
        </is>
      </c>
      <c r="J595">
        <f>HYPERLINK("https://g1.globo.com/mundo/noticia/2021/06/17/eua-flexibilizam-sancoes-contra-o-governo-maduro-na-venezuela-para-o-combate-a-covid-19.ghtml", "URL")</f>
        <v/>
      </c>
      <c r="K595">
        <f>HYPERLINK("https://raw.githubusercontent.com/marcosmapl/dataset_imigrantes/main/noticias_filtered/g1/venezuelanos/2021/05_jun/html/g1_bd6d9dc2-2326-11ed-b24f-6dbe51e79fca_3996.html", "HTML")</f>
        <v/>
      </c>
      <c r="L595">
        <f>HYPERLINK("https://raw.githubusercontent.com/marcosmapl/dataset_imigrantes/main/noticias_filtered/g1/venezuelanos/2021/05_jun/txt/g1_bd6d9dc2-2326-11ed-b24f-6dbe51e79fca_3996.txt", "TXT")</f>
        <v/>
      </c>
    </row>
    <row r="596">
      <c r="A596" s="1" t="n">
        <v>594</v>
      </c>
      <c r="B596" t="n">
        <v>2021</v>
      </c>
      <c r="C596" s="2" t="n">
        <v>44364.98146876157</v>
      </c>
      <c r="D596" t="inlineStr">
        <is>
          <t>G1</t>
        </is>
      </c>
      <c r="E596" t="inlineStr">
        <is>
          <t>VENEZUELANOS</t>
        </is>
      </c>
      <c r="F596" t="inlineStr">
        <is>
          <t>DISTRITO FEDERAL</t>
        </is>
      </c>
      <c r="G596" t="inlineStr">
        <is>
          <t>CAROLINA CRUZ, G1 DF</t>
        </is>
      </c>
      <c r="H596" t="inlineStr">
        <is>
          <t>COPA AMÉRICA: JOGADORES VENEZUELANOS FORAM INFECTADOS PELA VARIANTE GAMA DO CORONAVÍRUS, ORIGINADA EM MANAUS</t>
        </is>
      </c>
      <c r="I596" t="inlineStr">
        <is>
          <t>AO TODO,13 ATLETAS TESTARAM POSITIVO E SEGUEM ISOLADOS EM BRASÍLIA. SEQUENCIAMENTO FOI REALIZADO PELA SECRETARIA DE SAÚDE DO DISTRITO FEDERAL.</t>
        </is>
      </c>
      <c r="J596">
        <f>HYPERLINK("https://g1.globo.com/df/distrito-federal/noticia/2021/06/17/copa-america-jogadores-venezuelanos-foram-infectados-pela-variante-gama-do-coronavirus-originada-em-manaus.ghtml", "URL")</f>
        <v/>
      </c>
      <c r="K596">
        <f>HYPERLINK("https://raw.githubusercontent.com/marcosmapl/dataset_imigrantes/main/noticias_filtered/g1/venezuelanos/2021/05_jun/html/g1_f933ceca-2322-11ed-b24f-6dbe51e79fca_3781.html", "HTML")</f>
        <v/>
      </c>
      <c r="L596">
        <f>HYPERLINK("https://raw.githubusercontent.com/marcosmapl/dataset_imigrantes/main/noticias_filtered/g1/venezuelanos/2021/05_jun/txt/g1_f933ceca-2322-11ed-b24f-6dbe51e79fca_3781.txt", "TXT")</f>
        <v/>
      </c>
    </row>
    <row r="597">
      <c r="A597" s="1" t="n">
        <v>595</v>
      </c>
      <c r="B597" t="n">
        <v>2021</v>
      </c>
      <c r="C597" s="2" t="n">
        <v>44364.38637059028</v>
      </c>
      <c r="D597" t="inlineStr">
        <is>
          <t>G1</t>
        </is>
      </c>
      <c r="E597" t="inlineStr">
        <is>
          <t>VENEZUELANOS</t>
        </is>
      </c>
      <c r="F597" t="inlineStr">
        <is>
          <t>DISTRITO FEDERAL</t>
        </is>
      </c>
      <c r="G597" t="inlineStr">
        <is>
          <t>CAROLINA CRUZ, G1 DF</t>
        </is>
      </c>
      <c r="H597" t="inlineStr">
        <is>
          <t>COPA AMÉRICA: 10 TRABALHADORES DO MANÉ GARRINCHA E 3 FUNCIONÁRIOS DE HOTÉIS TESTAM POSITIVO PARA COVID EM BRASÍLIA</t>
        </is>
      </c>
      <c r="I597" t="inlineStr">
        <is>
          <t>AO TODO, 53 PESSOAS ENVOLVIDAS NO EVENTO ESTÃO CONTAMINADOS NO PAÍS; DESSES, 27 EM BRASÍLIA. LISTA TAMBÉM INCLUI INTEGRANTES DA DELEGAÇÃO VENEZUELANA E DA EQUIPE DA CONMEBOL.</t>
        </is>
      </c>
      <c r="J597">
        <f>HYPERLINK("https://g1.globo.com/df/distrito-federal/noticia/2021/06/17/copa-america-10-trabalhadores-do-mane-garrincha-e-3-funcionarios-de-hoteis-testam-positivo-para-covid-em-brasilia.ghtml", "URL")</f>
        <v/>
      </c>
      <c r="K597">
        <f>HYPERLINK("https://raw.githubusercontent.com/marcosmapl/dataset_imigrantes/main/noticias_filtered/g1/venezuelanos/2021/05_jun/html/g1_ae31a8ba-230a-11ed-b24f-6dbe51e79fca_2520.html", "HTML")</f>
        <v/>
      </c>
      <c r="L597">
        <f>HYPERLINK("https://raw.githubusercontent.com/marcosmapl/dataset_imigrantes/main/noticias_filtered/g1/venezuelanos/2021/05_jun/txt/g1_ae31a8ba-230a-11ed-b24f-6dbe51e79fca_2520.txt", "TXT")</f>
        <v/>
      </c>
    </row>
    <row r="598">
      <c r="A598" s="1" t="n">
        <v>596</v>
      </c>
      <c r="B598" t="n">
        <v>2021</v>
      </c>
      <c r="C598" s="2" t="n">
        <v>44363.77910666667</v>
      </c>
      <c r="D598" t="inlineStr">
        <is>
          <t>G1</t>
        </is>
      </c>
      <c r="E598" t="inlineStr">
        <is>
          <t>VENEZUELANOS</t>
        </is>
      </c>
      <c r="F598" t="inlineStr">
        <is>
          <t>PIAUÍ</t>
        </is>
      </c>
      <c r="G598" t="inlineStr">
        <is>
          <t>CATARINA COSTA, G1 PI</t>
        </is>
      </c>
      <c r="H598" t="inlineStr">
        <is>
          <t>MP INSTAURA PROCEDIMENTO PARA APURAR SITUAÇÃO DE VENEZUELANOS APÓS MORTE DE BEBÊ EM TERESINA</t>
        </is>
      </c>
      <c r="I598" t="inlineStr">
        <is>
          <t>A FUNDAÇÃO NACIONAL DO ÍNDIO (FUNAI) DENUNCIOU QUE AS FAMÍLIAS NÃO ESTÃO RECEBENDO TRATAMENTO DE SAÚDE, ALIMENTAÇÃO E MATERIAIS DE HIGIENE DE FORMA ADEQUADA.</t>
        </is>
      </c>
      <c r="J598">
        <f>HYPERLINK("https://g1.globo.com/pi/piaui/noticia/2021/06/16/mp-instaura-procedimento-para-apurar-situacao-de-indigenas-apos-morte-de-bebe-por-diarreia-no-piaui.ghtml", "URL")</f>
        <v/>
      </c>
      <c r="K598">
        <f>HYPERLINK("https://raw.githubusercontent.com/marcosmapl/dataset_imigrantes/main/noticias_filtered/g1/venezuelanos/2021/05_jun/html/g1_7a2b4db2-2307-11ed-b24f-6dbe51e79fca_2320.html", "HTML")</f>
        <v/>
      </c>
      <c r="L598">
        <f>HYPERLINK("https://raw.githubusercontent.com/marcosmapl/dataset_imigrantes/main/noticias_filtered/g1/venezuelanos/2021/05_jun/txt/g1_7a2b4db2-2307-11ed-b24f-6dbe51e79fca_2320.txt", "TXT")</f>
        <v/>
      </c>
    </row>
    <row r="599">
      <c r="A599" s="1" t="n">
        <v>597</v>
      </c>
      <c r="B599" t="n">
        <v>2021</v>
      </c>
      <c r="C599" s="2" t="n">
        <v>44363.51531795139</v>
      </c>
      <c r="D599" t="inlineStr">
        <is>
          <t>G1</t>
        </is>
      </c>
      <c r="E599" t="inlineStr">
        <is>
          <t>VENEZUELANOS</t>
        </is>
      </c>
      <c r="F599" t="inlineStr">
        <is>
          <t>PIRACICABA E REGIÃO</t>
        </is>
      </c>
      <c r="G599" t="inlineStr">
        <is>
          <t>BOM DIA CIDADE</t>
        </is>
      </c>
      <c r="H599" t="inlineStr">
        <is>
          <t>VENEZUELANO É LEVADO PARA A DELEGACIA APÓS AGREDIR ESPOSA E FILHO DURANTE BRIGA EM LIMEIRA</t>
        </is>
      </c>
      <c r="I599" t="inlineStr">
        <is>
          <t>MULHER DENUNCIOU MARIDO APÓS LEVAR SOCOS E CHUTES, ALÉM DE TER SIDO ESTRANGULADA. CRIANÇA TENTOU SEPARAR BRIGA E FOI EMPURRADA, BATENDO A CABEÇA. HOMEM FOI LIBERADO APÓS DEPOIMENTO.</t>
        </is>
      </c>
      <c r="J599">
        <f>HYPERLINK("https://g1.globo.com/sp/piracicaba-regiao/noticia/2021/06/16/venezuelano-e-levado-para-a-delegacia-apos-agredir-esposa-e-filho-durante-briga-em-limeira.ghtml", "URL")</f>
        <v/>
      </c>
      <c r="K599">
        <f>HYPERLINK("https://raw.githubusercontent.com/marcosmapl/dataset_imigrantes/main/noticias_filtered/g1/venezuelanos/2021/05_jun/html/g1_8a2560b8-232a-11ed-b24f-6dbe51e79fca_4185.html", "HTML")</f>
        <v/>
      </c>
      <c r="L599">
        <f>HYPERLINK("https://raw.githubusercontent.com/marcosmapl/dataset_imigrantes/main/noticias_filtered/g1/venezuelanos/2021/05_jun/txt/g1_8a2560b8-232a-11ed-b24f-6dbe51e79fca_4185.txt", "TXT")</f>
        <v/>
      </c>
    </row>
    <row r="600">
      <c r="A600" s="1" t="n">
        <v>598</v>
      </c>
      <c r="B600" t="n">
        <v>2021</v>
      </c>
      <c r="C600" s="2" t="n">
        <v>44362.67968847222</v>
      </c>
      <c r="D600" t="inlineStr">
        <is>
          <t>G1</t>
        </is>
      </c>
      <c r="E600" t="inlineStr">
        <is>
          <t>VENEZUELANOS</t>
        </is>
      </c>
      <c r="F600" t="inlineStr">
        <is>
          <t>MATO GROSSO</t>
        </is>
      </c>
      <c r="G600" t="inlineStr">
        <is>
          <t>G1 MT</t>
        </is>
      </c>
      <c r="H600" t="inlineStr">
        <is>
          <t>VENEZUELANOS SÃO CAPACITADOS PARA ABRIR O PRÓPRIO NEGÓCIO EM PROJETO DO SEBRAE E DA PASTORAL DO MIGRANTE EM MT</t>
        </is>
      </c>
      <c r="I600" t="inlineStr">
        <is>
          <t>A PARTIR DE UMA ENTREVISTA SOCIAL COM 100 MIGRANTES, FOI FEITA UMA TRIAGEM EM QUE 60 SE ENCAIXAM NO PERFIL EMPREENDEDOR</t>
        </is>
      </c>
      <c r="J600">
        <f>HYPERLINK("https://g1.globo.com/mt/mato-grosso/noticia/2021/06/15/venezuelanos-serao-capacitados-para-abrir-o-proprio-negocio-em-projeto-do-sebrae-e-da-pastoral-do-migrante-em-mt.ghtml", "URL")</f>
        <v/>
      </c>
      <c r="K600">
        <f>HYPERLINK("https://raw.githubusercontent.com/marcosmapl/dataset_imigrantes/main/noticias_filtered/g1/venezuelanos/2021/05_jun/html/g1_489e37d6-231c-11ed-b24f-6dbe51e79fca_3437.html", "HTML")</f>
        <v/>
      </c>
      <c r="L600">
        <f>HYPERLINK("https://raw.githubusercontent.com/marcosmapl/dataset_imigrantes/main/noticias_filtered/g1/venezuelanos/2021/05_jun/txt/g1_489e37d6-231c-11ed-b24f-6dbe51e79fca_3437.txt", "TXT")</f>
        <v/>
      </c>
    </row>
    <row r="601">
      <c r="A601" s="1" t="n">
        <v>599</v>
      </c>
      <c r="B601" t="n">
        <v>2021</v>
      </c>
      <c r="C601" s="2" t="n">
        <v>44362.3838155324</v>
      </c>
      <c r="D601" t="inlineStr">
        <is>
          <t>G1</t>
        </is>
      </c>
      <c r="E601" t="inlineStr">
        <is>
          <t>VENEZUELANOS</t>
        </is>
      </c>
      <c r="F601" t="inlineStr">
        <is>
          <t>DISTRITO FEDERAL</t>
        </is>
      </c>
      <c r="G601" t="inlineStr">
        <is>
          <t>CAROLINA CRUZ, G1 DF</t>
        </is>
      </c>
      <c r="H601" t="inlineStr">
        <is>
          <t>COPA AMÉRICA: GDF MOBILIZA LACEN PARA AGILIZAR IDENTIFICAÇÃO DA CEPA QUE INFECTOU JOGADORES VENEZUELANOS</t>
        </is>
      </c>
      <c r="I601" t="inlineStr">
        <is>
          <t>PRIMEIROS RESULTADOS ESTÃO PREVISTOS PARA ESTA TERÇA-FEIRA (14). HÁ 13 PESSOAS DA DELEGAÇÃO ISOLADAS EM BRASÍLIA.</t>
        </is>
      </c>
      <c r="J601">
        <f>HYPERLINK("https://g1.globo.com/df/distrito-federal/noticia/2021/06/15/copa-america-gdf-mobiliza-lacen-para-agilizar-identificacao-da-cepa-que-infectou-jogadores-venezuelanos.ghtml", "URL")</f>
        <v/>
      </c>
      <c r="K601">
        <f>HYPERLINK("https://raw.githubusercontent.com/marcosmapl/dataset_imigrantes/main/noticias_filtered/g1/venezuelanos/2021/05_jun/html/g1_8c2ba5c6-2329-11ed-b24f-6dbe51e79fca_4123.html", "HTML")</f>
        <v/>
      </c>
      <c r="L601">
        <f>HYPERLINK("https://raw.githubusercontent.com/marcosmapl/dataset_imigrantes/main/noticias_filtered/g1/venezuelanos/2021/05_jun/txt/g1_8c2ba5c6-2329-11ed-b24f-6dbe51e79fca_4123.txt", "TXT")</f>
        <v/>
      </c>
    </row>
    <row r="602">
      <c r="A602" s="1" t="n">
        <v>600</v>
      </c>
      <c r="B602" t="n">
        <v>2021</v>
      </c>
      <c r="C602" s="2" t="n">
        <v>44360.90625862269</v>
      </c>
      <c r="D602" t="inlineStr">
        <is>
          <t>G1</t>
        </is>
      </c>
      <c r="E602" t="inlineStr">
        <is>
          <t>VENEZUELANOS</t>
        </is>
      </c>
      <c r="F602" t="inlineStr">
        <is>
          <t>PIAUÍ</t>
        </is>
      </c>
      <c r="G602" t="inlineStr">
        <is>
          <t>CATARINA COSTA, G1 PI</t>
        </is>
      </c>
      <c r="H602" t="inlineStr">
        <is>
          <t>BEBÊ INDÍGENA DE UM MÊS MORRE DE INFECÇÃO INTESTINAL EM ABRIGO DE VENEZUELANOS NO PIAUÍ</t>
        </is>
      </c>
      <c r="I602" t="inlineStr">
        <is>
          <t>O COLETIVO PIAUÍ INDÍGENA USOU A REDE SOCIAL PARA DENUNCIAR A FALTA DE ACOMPANHAMENTO MÉDICO AOS VENEZUELANOS. SECRETARIA DE CIDADANIA E ASSISTÊNCIA SOCIAL INFORMOU QUE PRESTOU ATENDIMENTO NECESSÁRIO A MÃE DO BEBÊ.</t>
        </is>
      </c>
      <c r="J602">
        <f>HYPERLINK("https://g1.globo.com/pi/piaui/noticia/2021/06/13/bebe-indigena-de-um-mes-morre-de-diarreia-em-abrigo-de-venezuelanos-no-piaui.ghtml", "URL")</f>
        <v/>
      </c>
      <c r="K602">
        <f>HYPERLINK("https://raw.githubusercontent.com/marcosmapl/dataset_imigrantes/main/noticias_filtered/g1/venezuelanos/2021/05_jun/html/g1_689cb246-2309-11ed-b24f-6dbe51e79fca_2442.html", "HTML")</f>
        <v/>
      </c>
      <c r="L602">
        <f>HYPERLINK("https://raw.githubusercontent.com/marcosmapl/dataset_imigrantes/main/noticias_filtered/g1/venezuelanos/2021/05_jun/txt/g1_689cb246-2309-11ed-b24f-6dbe51e79fca_2442.txt", "TXT")</f>
        <v/>
      </c>
    </row>
    <row r="603">
      <c r="A603" s="1" t="n">
        <v>601</v>
      </c>
      <c r="B603" t="n">
        <v>2021</v>
      </c>
      <c r="C603" s="2" t="n">
        <v>44360.54189503472</v>
      </c>
      <c r="D603" t="inlineStr">
        <is>
          <t>G1</t>
        </is>
      </c>
      <c r="E603" t="inlineStr">
        <is>
          <t>VENEZUELANOS</t>
        </is>
      </c>
      <c r="F603" t="inlineStr">
        <is>
          <t>DISTRITO FEDERAL</t>
        </is>
      </c>
      <c r="G603" t="inlineStr">
        <is>
          <t>MARÍLIA MARQUES, G1 DF</t>
        </is>
      </c>
      <c r="H603" t="inlineStr">
        <is>
          <t>COPA AMÉRICA: SAÚDE DO DF APONTA RISCO DE DISSEMINAÇÃO DE NOVAS CEPAS DA COVID-19 DURANTE COMPETIÇÃO INTERNACIONAL</t>
        </is>
      </c>
      <c r="I603" t="inlineStr">
        <is>
          <t>ANÁLISE CONSTA EM PLANO OPERACIONAL DO GOVERNO. PELO MENOS 13 MEMBROS DA SELEÇÃO VENEZUELANA HOSPEDADOS EM BRASÍLIA FORAM DIAGNOSTICADOS COM NOVO CORONAVÍRUS; PARTIDA DE ESTREIA É NESTE DOMINGO (13).</t>
        </is>
      </c>
      <c r="J603">
        <f>HYPERLINK("https://g1.globo.com/df/distrito-federal/noticia/2021/06/13/copa-america-saude-do-df-aponta-risco-de-disseminacao-de-novas-cepas-da-covid-19-durante-competicao-internacional.ghtml", "URL")</f>
        <v/>
      </c>
      <c r="K603">
        <f>HYPERLINK("https://raw.githubusercontent.com/marcosmapl/dataset_imigrantes/main/noticias_filtered/g1/venezuelanos/2021/05_jun/html/g1_ff158aea-232c-11ed-b24f-6dbe51e79fca_4338.html", "HTML")</f>
        <v/>
      </c>
      <c r="L603">
        <f>HYPERLINK("https://raw.githubusercontent.com/marcosmapl/dataset_imigrantes/main/noticias_filtered/g1/venezuelanos/2021/05_jun/txt/g1_ff158aea-232c-11ed-b24f-6dbe51e79fca_4338.txt", "TXT")</f>
        <v/>
      </c>
    </row>
    <row r="604">
      <c r="A604" s="1" t="n">
        <v>602</v>
      </c>
      <c r="B604" t="n">
        <v>2021</v>
      </c>
      <c r="C604" s="2" t="n">
        <v>44359.41708585648</v>
      </c>
      <c r="D604" t="inlineStr">
        <is>
          <t>G1</t>
        </is>
      </c>
      <c r="E604" t="inlineStr">
        <is>
          <t>VENEZUELANOS</t>
        </is>
      </c>
      <c r="F604" t="inlineStr">
        <is>
          <t>RORAIMA</t>
        </is>
      </c>
      <c r="G604" t="inlineStr">
        <is>
          <t>G1 RR — BOA VISTA</t>
        </is>
      </c>
      <c r="H604" t="inlineStr">
        <is>
          <t>FISCALIZAÇÃO APREENDE 72 KG DE QUEIJO CLANDESTINO DA VENEZUELA NA FRONTEIRA EM RR</t>
        </is>
      </c>
      <c r="I604" t="inlineStr">
        <is>
          <t>AS BARRAS DE QUEIJO ESTAVAM ENROLADAS EM UMA TOALHA, CONFORME A AGÊNCIA DE DEFESA AGROPECUÁRIA DE RORAIMA. APREENSÃO ACONTECEU NESSA SEXTA-FEIRA (11).</t>
        </is>
      </c>
      <c r="J604">
        <f>HYPERLINK("https://g1.globo.com/rr/roraima/noticia/2021/06/12/fiscalizacao-apreende-72-kg-de-queijo-clandestino-da-venezuela-na-fronteira-em-rr.ghtml", "URL")</f>
        <v/>
      </c>
      <c r="K604">
        <f>HYPERLINK("https://raw.githubusercontent.com/marcosmapl/dataset_imigrantes/main/noticias_filtered/g1/venezuelanos/2021/05_jun/html/g1_a041503c-2311-11ed-b24f-6dbe51e79fca_2926.html", "HTML")</f>
        <v/>
      </c>
      <c r="L604">
        <f>HYPERLINK("https://raw.githubusercontent.com/marcosmapl/dataset_imigrantes/main/noticias_filtered/g1/venezuelanos/2021/05_jun/txt/g1_a041503c-2311-11ed-b24f-6dbe51e79fca_2926.txt", "TXT")</f>
        <v/>
      </c>
    </row>
    <row r="605">
      <c r="A605" s="1" t="n">
        <v>603</v>
      </c>
      <c r="B605" t="n">
        <v>2021</v>
      </c>
      <c r="C605" s="2" t="n">
        <v>44354.41709674768</v>
      </c>
      <c r="D605" t="inlineStr">
        <is>
          <t>G1</t>
        </is>
      </c>
      <c r="E605" t="inlineStr">
        <is>
          <t>VENEZUELANOS</t>
        </is>
      </c>
      <c r="F605" t="inlineStr">
        <is>
          <t>RORAIMA</t>
        </is>
      </c>
      <c r="G605" t="inlineStr">
        <is>
          <t>G1 RR — BOA VISTA</t>
        </is>
      </c>
      <c r="H605" t="inlineStr">
        <is>
          <t>CÁRITAS PEDE INTERVENÇÃO DE TRÁFEGO NA BR-174 APÓS CARRO ATROPELAR CRIANÇAS VENEZUELANAS EM RR</t>
        </is>
      </c>
      <c r="I605" t="inlineStr">
        <is>
          <t>ACIDENTE ACONTECEU EM 10 DE MAIO, EM TRECHO NA REGIÃO DO BAIRRO 13 DE SETEMBRO, EM BOA VISTA. ORGANIZAÇÃO CATÓLICA PEDE QUE SEJAM COLOCADAS BARREIRAS, QUEBRA-MOLAS OU POSTO POLICIAL.</t>
        </is>
      </c>
      <c r="J605">
        <f>HYPERLINK("https://g1.globo.com/rr/roraima/noticia/2021/06/07/caritas-pede-intervencao-de-trafego-na-br-174-apos-carro-atropelar-criancas-venezuelanas-em-rr.ghtml", "URL")</f>
        <v/>
      </c>
      <c r="K605">
        <f>HYPERLINK("https://raw.githubusercontent.com/marcosmapl/dataset_imigrantes/main/noticias_filtered/g1/venezuelanos/2021/05_jun/html/g1_7b20cf3a-232a-11ed-b24f-6dbe51e79fca_4182.html", "HTML")</f>
        <v/>
      </c>
      <c r="L605">
        <f>HYPERLINK("https://raw.githubusercontent.com/marcosmapl/dataset_imigrantes/main/noticias_filtered/g1/venezuelanos/2021/05_jun/txt/g1_7b20cf3a-232a-11ed-b24f-6dbe51e79fca_4182.txt", "TXT")</f>
        <v/>
      </c>
    </row>
    <row r="606">
      <c r="A606" s="1" t="n">
        <v>604</v>
      </c>
      <c r="B606" t="n">
        <v>2021</v>
      </c>
      <c r="C606" s="2" t="n">
        <v>44353.59356650463</v>
      </c>
      <c r="D606" t="inlineStr">
        <is>
          <t>G1</t>
        </is>
      </c>
      <c r="E606" t="inlineStr">
        <is>
          <t>HAITIANOS</t>
        </is>
      </c>
      <c r="F606" t="inlineStr">
        <is>
          <t>PARÁ</t>
        </is>
      </c>
      <c r="G606" t="inlineStr">
        <is>
          <t>G1 PA — BELÉM</t>
        </is>
      </c>
      <c r="H606" t="inlineStr">
        <is>
          <t>OPERAÇÃO IMPEDE A ENTRADA CLANDESTINA DE 17 HAITIANOS NO PARÁ</t>
        </is>
      </c>
      <c r="I606" t="inlineStr">
        <is>
          <t>DENTRO DO NAVIO, IDENTIFICARAM TAMBÉM UMA CARGA COM ROUPAS, BONÉS, ELETRÔNICOS E SUPLEMENTOS SENDO TRANSPORTADOS SEM COMPROVAÇÃO FISCAL.</t>
        </is>
      </c>
      <c r="J606">
        <f>HYPERLINK("https://g1.globo.com/pa/para/noticia/2021/06/06/operacao-impede-a-entrada-clandestina-de-17-haitianos-no-para.ghtml", "URL")</f>
        <v/>
      </c>
      <c r="K606">
        <f>HYPERLINK("https://raw.githubusercontent.com/marcosmapl/dataset_imigrantes/main/noticias_filtered/g1/haitianos/2021/05_jun/html/g1_520f5cf4-22f5-11ed-b24f-6dbe51e79fca_1942.html", "HTML")</f>
        <v/>
      </c>
      <c r="L606">
        <f>HYPERLINK("https://raw.githubusercontent.com/marcosmapl/dataset_imigrantes/main/noticias_filtered/g1/haitianos/2021/05_jun/txt/g1_520f5cf4-22f5-11ed-b24f-6dbe51e79fca_1942.txt", "TXT")</f>
        <v/>
      </c>
    </row>
    <row r="607">
      <c r="A607" s="1" t="n">
        <v>605</v>
      </c>
      <c r="B607" t="n">
        <v>2021</v>
      </c>
      <c r="C607" s="2" t="n">
        <v>44352.85232581018</v>
      </c>
      <c r="D607" t="inlineStr">
        <is>
          <t>G1</t>
        </is>
      </c>
      <c r="E607" t="inlineStr">
        <is>
          <t>VENEZUELANOS</t>
        </is>
      </c>
      <c r="F607" t="inlineStr">
        <is>
          <t>RORAIMA</t>
        </is>
      </c>
      <c r="G607" t="inlineStr">
        <is>
          <t>G1 RR — BOA VISTA</t>
        </is>
      </c>
      <c r="H607" t="inlineStr">
        <is>
          <t>LUIZA BRUNET VISITA REFUGIADOS VENEZUELANOS EM RORAIMA</t>
        </is>
      </c>
      <c r="I607" t="inlineStr">
        <is>
          <t>MODELO E ATIVISTA LUIZA BRUNET ESTÁ EM RORAIMA ONDE PARTICIPA DE AÇÕES DE SAÚDE VOLTADAS AOS MIGRANTES.</t>
        </is>
      </c>
      <c r="J607">
        <f>HYPERLINK("https://g1.globo.com/rr/roraima/noticia/2021/06/05/luiza-brunet-visita-refugiados-venezuelanos-em-roraima.ghtml", "URL")</f>
        <v/>
      </c>
      <c r="K607">
        <f>HYPERLINK("https://raw.githubusercontent.com/marcosmapl/dataset_imigrantes/main/noticias_filtered/g1/venezuelanos/2021/05_jun/html/g1_10d45126-2314-11ed-b24f-6dbe51e79fca_3043.html", "HTML")</f>
        <v/>
      </c>
      <c r="L607">
        <f>HYPERLINK("https://raw.githubusercontent.com/marcosmapl/dataset_imigrantes/main/noticias_filtered/g1/venezuelanos/2021/05_jun/txt/g1_10d45126-2314-11ed-b24f-6dbe51e79fca_3043.txt", "TXT")</f>
        <v/>
      </c>
    </row>
    <row r="608">
      <c r="A608" s="1" t="n">
        <v>606</v>
      </c>
      <c r="B608" t="n">
        <v>2021</v>
      </c>
      <c r="C608" s="2" t="n">
        <v>44351.97855207176</v>
      </c>
      <c r="D608" t="inlineStr">
        <is>
          <t>G1</t>
        </is>
      </c>
      <c r="E608" t="inlineStr">
        <is>
          <t>VENEZUELANOS</t>
        </is>
      </c>
      <c r="F608" t="inlineStr">
        <is>
          <t>CEARÁ</t>
        </is>
      </c>
      <c r="G608" t="inlineStr">
        <is>
          <t>G1 CE</t>
        </is>
      </c>
      <c r="H608" t="inlineStr">
        <is>
          <t>REFUGIADOS VENEZUELANOS NO CEARÁ RECEBEM DOCUMENTAÇÃO PARA SERVIÇOS DE SAÚDE E EDUCAÇÃO</t>
        </is>
      </c>
      <c r="I608" t="inlineStr">
        <is>
          <t>A CONCESSÃO DOS DOCUMENTOS FOI OBTIDA A PARTIR DE UMA PARCERIA ENTRE SECRETARIA DA PROTEÇÃO SOCIAL, JUSTIÇA, CIDADANIA, MULHERES E DIREITOS HUMANOS (SPS) E POLÍCIA FEDERAL.</t>
        </is>
      </c>
      <c r="J608">
        <f>HYPERLINK("https://g1.globo.com/ce/ceara/noticia/2021/06/04/refugiados-venezuelanos-no-ceara-recebem-documentacao-para-servicos-de-saude-e-educacao.ghtml", "URL")</f>
        <v/>
      </c>
      <c r="K608">
        <f>HYPERLINK("https://raw.githubusercontent.com/marcosmapl/dataset_imigrantes/main/noticias_filtered/g1/venezuelanos/2021/05_jun/html/g1_88e46398-2325-11ed-b24f-6dbe51e79fca_3920.html", "HTML")</f>
        <v/>
      </c>
      <c r="L608">
        <f>HYPERLINK("https://raw.githubusercontent.com/marcosmapl/dataset_imigrantes/main/noticias_filtered/g1/venezuelanos/2021/05_jun/txt/g1_88e46398-2325-11ed-b24f-6dbe51e79fca_3920.txt", "TXT")</f>
        <v/>
      </c>
    </row>
    <row r="609">
      <c r="A609" s="1" t="n">
        <v>607</v>
      </c>
      <c r="B609" t="n">
        <v>2021</v>
      </c>
      <c r="C609" s="2" t="n">
        <v>44351.56601851852</v>
      </c>
      <c r="D609" t="inlineStr">
        <is>
          <t>A CRITICA</t>
        </is>
      </c>
      <c r="E609" t="inlineStr">
        <is>
          <t>VENEZUELANOS</t>
        </is>
      </c>
      <c r="F609" t="inlineStr">
        <is>
          <t>EDUCACAO</t>
        </is>
      </c>
      <c r="G609" t="inlineStr">
        <is>
          <t>PORTAL A CRÍTICA</t>
        </is>
      </c>
      <c r="H609" t="inlineStr">
        <is>
          <t>CURSO PREPARA TRABALHADORES PARA ATUAREM NA RECEPÇÃO DE HISPÂNICOS EM MANAUS</t>
        </is>
      </c>
      <c r="I609" t="inlineStr">
        <is>
          <t>PARTICIPAM DA TURMA PROFISSIONAIS DE 12 INSTITUIÇÕES QUE ATENDEM IMIGRANTES NA CAPITAL</t>
        </is>
      </c>
      <c r="J609">
        <f>HYPERLINK("https://www.acritica.com/educacao/curso-prepara-trabalhadores-para-atuarem-na-recepc-o-de-hispanicos-em-manaus-1.16380", "URL")</f>
        <v/>
      </c>
      <c r="K609">
        <f>HYPERLINK("https://raw.githubusercontent.com/marcosmapl/dataset_imigrantes/main/noticias_filtered/a_critica/venezuelanos/2021/05_jun/html/1.16380_1215.html", "HTML")</f>
        <v/>
      </c>
      <c r="L609">
        <f>HYPERLINK("https://raw.githubusercontent.com/marcosmapl/dataset_imigrantes/main/noticias_filtered/a_critica/venezuelanos/2021/05_jun/txt/1.16380_1215.txt", "TXT")</f>
        <v/>
      </c>
    </row>
    <row r="610">
      <c r="A610" s="1" t="n">
        <v>608</v>
      </c>
      <c r="B610" t="n">
        <v>2021</v>
      </c>
      <c r="C610" s="2" t="n">
        <v>44351.42847222222</v>
      </c>
      <c r="D610" t="inlineStr">
        <is>
          <t>PORTAL AMAZONIA</t>
        </is>
      </c>
      <c r="E610" t="inlineStr">
        <is>
          <t>VENEZUELANOS</t>
        </is>
      </c>
      <c r="F610" t="inlineStr">
        <is>
          <t>AMAZONAS,NOTÍCIAS,EDUCAÇÃO</t>
        </is>
      </c>
      <c r="G610" t="inlineStr">
        <is>
          <t>REDAÇÃO - JORNALISMO@PORTALAMAZONIA.COM</t>
        </is>
      </c>
      <c r="H610" t="inlineStr">
        <is>
          <t>CURSO PREPARA TRABALHADORES PARA ATUAREM NA RECEPÇÃO DE HISPÂNICOS EM MANAUS</t>
        </is>
      </c>
      <c r="I610" t="inlineStr">
        <is>
          <t>PARTICIPAM DA TURMA PROFISSIONAIS DE 12 INSTITUIÇÕES QUE ATENDEM IMIGRANTES NA CAPITAL</t>
        </is>
      </c>
      <c r="J610">
        <f>HYPERLINK("https://portalamazonia.com/noticias/curso-prepara-trabalhadores-para-atuarem-na-recepcao-de-hispanicos-em-manaus", "URL")</f>
        <v/>
      </c>
      <c r="K610">
        <f>HYPERLINK("https://raw.githubusercontent.com/marcosmapl/dataset_imigrantes/main/noticias_filtered/portal_amazonia/venezuelanos/2021/05_jun/html/32771.77395_1499.html", "HTML")</f>
        <v/>
      </c>
      <c r="L610">
        <f>HYPERLINK("https://raw.githubusercontent.com/marcosmapl/dataset_imigrantes/main/noticias_filtered/portal_amazonia/venezuelanos/2021/05_jun/txt/32771.77395_1499.txt", "TXT")</f>
        <v/>
      </c>
    </row>
    <row r="611">
      <c r="A611" s="1" t="n">
        <v>609</v>
      </c>
      <c r="B611" t="n">
        <v>2021</v>
      </c>
      <c r="C611" s="2" t="n">
        <v>44348.56034815972</v>
      </c>
      <c r="D611" t="inlineStr">
        <is>
          <t>G1</t>
        </is>
      </c>
      <c r="E611" t="inlineStr">
        <is>
          <t>HAITIANOS</t>
        </is>
      </c>
      <c r="F611" t="inlineStr">
        <is>
          <t>CAMPINAS E REGIÃO</t>
        </is>
      </c>
      <c r="G611" t="inlineStr">
        <is>
          <t>BOM DIA CIDADE</t>
        </is>
      </c>
      <c r="H611" t="inlineStr">
        <is>
          <t>POLÍCIA CIVIL INVESTIGA SUSPEITA DE GOLPE CONTRA IMIGRANTES HAITIANOS EM CAMPINAS</t>
        </is>
      </c>
      <c r="I611" t="inlineStr">
        <is>
          <t>IMIGRANTES CONTRATARAM SERVIÇO EM AGÊNCIA QUE PROMETIA AJUDAR EM VIAGEM PARA A GUATEMALA E ESTAVAM COM OS DOCUMENTOS 'PRESOS' HÁ MESES NA EMPRESA. GUARDA MUNICIPAL AJUDOU IMIGRANTES NA RECUPERAÇÃO DOS PASSAPORTES.</t>
        </is>
      </c>
      <c r="J611">
        <f>HYPERLINK("https://g1.globo.com/sp/campinas-regiao/noticia/2021/06/01/policia-civil-investiga-suspeita-de-golpe-contra-imigrantes-haitianos-em-campinas.ghtml", "URL")</f>
        <v/>
      </c>
      <c r="K611">
        <f>HYPERLINK("https://raw.githubusercontent.com/marcosmapl/dataset_imigrantes/main/noticias_filtered/g1/haitianos/2021/05_jun/html/g1_e09de854-22ec-11ed-b24f-6dbe51e79fca_1671.html", "HTML")</f>
        <v/>
      </c>
      <c r="L611">
        <f>HYPERLINK("https://raw.githubusercontent.com/marcosmapl/dataset_imigrantes/main/noticias_filtered/g1/haitianos/2021/05_jun/txt/g1_e09de854-22ec-11ed-b24f-6dbe51e79fca_1671.txt", "TXT")</f>
        <v/>
      </c>
    </row>
    <row r="612">
      <c r="A612" s="1" t="n">
        <v>610</v>
      </c>
      <c r="B612" t="n">
        <v>2021</v>
      </c>
      <c r="C612" s="2" t="n">
        <v>44348.46371957176</v>
      </c>
      <c r="D612" t="inlineStr">
        <is>
          <t>G1</t>
        </is>
      </c>
      <c r="E612" t="inlineStr">
        <is>
          <t>VENEZUELANOS</t>
        </is>
      </c>
      <c r="F612" t="inlineStr">
        <is>
          <t>MUNDO</t>
        </is>
      </c>
      <c r="G612" t="inlineStr">
        <is>
          <t>FRANCE PRESSE</t>
        </is>
      </c>
      <c r="H612" t="inlineStr">
        <is>
          <t>OITO MILITARES VENEZUELANOS QUE HAVIAM SIDO CAPTURADOS POR GRUPOS ARMADOS COLOMBIANOS SÃO RESGATADOS</t>
        </is>
      </c>
      <c r="I612" t="inlineStr">
        <is>
          <t>GRUPOS ARMADOS DA COLÔMBIA ATUAM EM TERRITÓRIO DA VENEZUELA. ACREDITA-SE QUE SÃO DISSIDENTES DAS FARC.</t>
        </is>
      </c>
      <c r="J612">
        <f>HYPERLINK("https://g1.globo.com/mundo/noticia/2021/06/01/oito-militares-venezuelanos-que-haviam-sido-capturados-por-grupos-armados-colombianos-sao-resgatados.ghtml", "URL")</f>
        <v/>
      </c>
      <c r="K612">
        <f>HYPERLINK("https://raw.githubusercontent.com/marcosmapl/dataset_imigrantes/main/noticias_filtered/g1/venezuelanos/2021/05_jun/html/g1_2677f934-2313-11ed-b24f-6dbe51e79fca_2996.html", "HTML")</f>
        <v/>
      </c>
      <c r="L612">
        <f>HYPERLINK("https://raw.githubusercontent.com/marcosmapl/dataset_imigrantes/main/noticias_filtered/g1/venezuelanos/2021/05_jun/txt/g1_2677f934-2313-11ed-b24f-6dbe51e79fca_2996.txt", "TXT")</f>
        <v/>
      </c>
    </row>
    <row r="613">
      <c r="A613" s="1" t="n">
        <v>611</v>
      </c>
      <c r="B613" t="n">
        <v>2021</v>
      </c>
      <c r="C613" s="2" t="n">
        <v>44347.71572679398</v>
      </c>
      <c r="D613" t="inlineStr">
        <is>
          <t>G1</t>
        </is>
      </c>
      <c r="E613" t="inlineStr">
        <is>
          <t>VENEZUELANOS</t>
        </is>
      </c>
      <c r="F613" t="inlineStr">
        <is>
          <t>GOIÁS</t>
        </is>
      </c>
      <c r="G613" t="inlineStr">
        <is>
          <t>DANIELLE OLIVEIRA, G1 GO</t>
        </is>
      </c>
      <c r="H613" t="inlineStr">
        <is>
          <t>VENEZUELANO É LEVADO PARA A DELEGACIA SUSPEITO DE AMEAÇAR A MULHER E A ENTEADA COM FACA EM GOIÂNIA</t>
        </is>
      </c>
      <c r="I613" t="inlineStr">
        <is>
          <t>SEGUNDO A GUARDA CIVIL METROPOLITANA, AS VÍTIMAS SE TRANCARAM EM UM QUARTO PARA FUGIR DELE. VIZINHOS ACIONARAM A CORPORAÇÃO, QUE TEVE DE IMOBILIZAR O HOMEM. ELE FOI OUVIDO PELA POLÍCIA CIVIL E LIBERADO.</t>
        </is>
      </c>
      <c r="J613">
        <f>HYPERLINK("https://g1.globo.com/go/goias/noticia/2021/05/31/venezuelano-e-preso-suspeito-de-tentar-matar-a-mulher-e-a-enteada-com-faca-em-goiania.ghtml", "URL")</f>
        <v/>
      </c>
      <c r="K613">
        <f>HYPERLINK("https://raw.githubusercontent.com/marcosmapl/dataset_imigrantes/main/noticias_filtered/g1/venezuelanos/2021/04_mai/html/g1_4dcd3bb2-2308-11ed-b24f-6dbe51e79fca_2377.html", "HTML")</f>
        <v/>
      </c>
      <c r="L613">
        <f>HYPERLINK("https://raw.githubusercontent.com/marcosmapl/dataset_imigrantes/main/noticias_filtered/g1/venezuelanos/2021/04_mai/txt/g1_4dcd3bb2-2308-11ed-b24f-6dbe51e79fca_2377.txt", "TXT")</f>
        <v/>
      </c>
    </row>
    <row r="614">
      <c r="A614" s="1" t="n">
        <v>612</v>
      </c>
      <c r="B614" t="n">
        <v>2021</v>
      </c>
      <c r="C614" s="2" t="n">
        <v>44347.66394530093</v>
      </c>
      <c r="D614" t="inlineStr">
        <is>
          <t>G1</t>
        </is>
      </c>
      <c r="E614" t="inlineStr">
        <is>
          <t>HAITIANOS</t>
        </is>
      </c>
      <c r="F614" t="inlineStr">
        <is>
          <t>MUNDO</t>
        </is>
      </c>
      <c r="G614" t="inlineStr">
        <is>
          <t>REUTERS</t>
        </is>
      </c>
      <c r="H614" t="inlineStr">
        <is>
          <t>DESNUTRIÇÃO AGUDA DISPARA ENTRE CRIANÇAS DO HAITI, ALERTA UNICEF</t>
        </is>
      </c>
      <c r="I614" t="inlineStr">
        <is>
          <t>CERCA DE 4,4 MILHÕES DE HAITIANOS, QUASE METADE DA POPULAÇÃO, ESTÃO ENFRENTANDO UMA INSEGURANÇA ALIMENTAR 'ALTAMENTE AGUDA'.</t>
        </is>
      </c>
      <c r="J614">
        <f>HYPERLINK("https://g1.globo.com/mundo/noticia/2021/05/31/desnutricao-aguda-dispara-entre-criancas-do-haiti-alerta-unicef.ghtml", "URL")</f>
        <v/>
      </c>
      <c r="K614">
        <f>HYPERLINK("https://raw.githubusercontent.com/marcosmapl/dataset_imigrantes/main/noticias_filtered/g1/haitianos/2021/04_mai/html/g1_6a51373c-22f1-11ed-b24f-6dbe51e79fca_1749.html", "HTML")</f>
        <v/>
      </c>
      <c r="L614">
        <f>HYPERLINK("https://raw.githubusercontent.com/marcosmapl/dataset_imigrantes/main/noticias_filtered/g1/haitianos/2021/04_mai/txt/g1_6a51373c-22f1-11ed-b24f-6dbe51e79fca_1749.txt", "TXT")</f>
        <v/>
      </c>
    </row>
    <row r="615">
      <c r="A615" s="1" t="n">
        <v>613</v>
      </c>
      <c r="B615" t="n">
        <v>2021</v>
      </c>
      <c r="C615" s="2" t="n">
        <v>44344.7753730787</v>
      </c>
      <c r="D615" t="inlineStr">
        <is>
          <t>G1</t>
        </is>
      </c>
      <c r="E615" t="inlineStr">
        <is>
          <t>VENEZUELANOS</t>
        </is>
      </c>
      <c r="F615" t="inlineStr">
        <is>
          <t>MATO GROSSO</t>
        </is>
      </c>
      <c r="G615" t="inlineStr">
        <is>
          <t>G1 MT</t>
        </is>
      </c>
      <c r="H615" t="inlineStr">
        <is>
          <t>JUSTIÇA RECONHECE UNIÃO ESTÁVEL DE CASAIS VENEZUELANOS EM MT</t>
        </is>
      </c>
      <c r="I615" t="inlineStr">
        <is>
          <t>AGORA ELES TERÃO ACESSO A BENEFÍCIOS CONCEDIDOS PELA EMPRESA EMPREGADORA, TAIS COMO PLANO DE SAÚDE, ODONTOLÓGICO E SEGURO DE VIDA, E PELO GOVERNO FEDERAL.</t>
        </is>
      </c>
      <c r="J615">
        <f>HYPERLINK("https://g1.globo.com/mt/mato-grosso/noticia/2021/05/28/justica-reconhece-uniao-estavel-de-casais-venezuelanos-em-mt.ghtml", "URL")</f>
        <v/>
      </c>
      <c r="K615">
        <f>HYPERLINK("https://raw.githubusercontent.com/marcosmapl/dataset_imigrantes/main/noticias_filtered/g1/venezuelanos/2021/04_mai/html/g1_2e39433a-2309-11ed-b24f-6dbe51e79fca_2432.html", "HTML")</f>
        <v/>
      </c>
      <c r="L615">
        <f>HYPERLINK("https://raw.githubusercontent.com/marcosmapl/dataset_imigrantes/main/noticias_filtered/g1/venezuelanos/2021/04_mai/txt/g1_2e39433a-2309-11ed-b24f-6dbe51e79fca_2432.txt", "TXT")</f>
        <v/>
      </c>
    </row>
    <row r="616">
      <c r="A616" s="1" t="n">
        <v>614</v>
      </c>
      <c r="B616" t="n">
        <v>2021</v>
      </c>
      <c r="C616" s="2" t="n">
        <v>44341.71274305556</v>
      </c>
      <c r="D616" t="inlineStr">
        <is>
          <t>A CRITICA</t>
        </is>
      </c>
      <c r="E616" t="inlineStr">
        <is>
          <t>VENEZUELANOS</t>
        </is>
      </c>
      <c r="F616" t="inlineStr"/>
      <c r="G616" t="inlineStr">
        <is>
          <t>PORTAL A CRÍTICA</t>
        </is>
      </c>
      <c r="H616" t="inlineStr">
        <is>
          <t>GOVERNO DO AMAZONAS ALINHA PARCERIA COM O EXÉRCITO PARA ORGANIZAÇÃO DO FLUXO MIGRATÓRIO DE VENEZUELANOS</t>
        </is>
      </c>
      <c r="I616" t="inlineStr">
        <is>
          <t>SEGUNDO O EXÉRCITO, 51 MIL VENEZUELANOS QUE INGRESSARAM NO PAÍS JÁ FORAM INTERIORIZADOS PARA 650 CIDADES</t>
        </is>
      </c>
      <c r="J616">
        <f>HYPERLINK("https://www.acritica.com/governo-do-amazonas-alinha-parceria-com-o-exercito-para-organizac-o-do-fluxo-migratorio-de-venezuelanos-1.16982", "URL")</f>
        <v/>
      </c>
      <c r="K616">
        <f>HYPERLINK("https://raw.githubusercontent.com/marcosmapl/dataset_imigrantes/main/noticias_filtered/a_critica/venezuelanos/2021/04_mai/html/1.16982_683.html", "HTML")</f>
        <v/>
      </c>
      <c r="L616">
        <f>HYPERLINK("https://raw.githubusercontent.com/marcosmapl/dataset_imigrantes/main/noticias_filtered/a_critica/venezuelanos/2021/04_mai/txt/1.16982_683.txt", "TXT")</f>
        <v/>
      </c>
    </row>
    <row r="617">
      <c r="A617" s="1" t="n">
        <v>615</v>
      </c>
      <c r="B617" t="n">
        <v>2021</v>
      </c>
      <c r="C617" s="2" t="n">
        <v>44340.98873130787</v>
      </c>
      <c r="D617" t="inlineStr">
        <is>
          <t>G1</t>
        </is>
      </c>
      <c r="E617" t="inlineStr">
        <is>
          <t>HAITIANOS</t>
        </is>
      </c>
      <c r="F617" t="inlineStr">
        <is>
          <t>MATO GROSSO</t>
        </is>
      </c>
      <c r="G617" t="inlineStr">
        <is>
          <t>G1 MT</t>
        </is>
      </c>
      <c r="H617" t="inlineStr">
        <is>
          <t>ASSOCIAÇÃO PEDE DOAÇÃO DE COMIDA E MATERIAIS DE HIGIENE PESSOAL PARA FAMÍLIAS HAITIANAS EM CUIABÁ</t>
        </is>
      </c>
      <c r="I617" t="inlineStr">
        <is>
          <t>ATÉ ESTA SEGUNDA-FEIRA (24), 230 CESTAS BÁSICAS JÁ FORAM DOADAS.</t>
        </is>
      </c>
      <c r="J617">
        <f>HYPERLINK("https://g1.globo.com/mt/mato-grosso/noticia/2021/05/24/associacao-pede-doacao-de-comida-e-materiais-de-higiene-pessoal-para-familias-haitianas-em-cuiaba.ghtml", "URL")</f>
        <v/>
      </c>
      <c r="K617">
        <f>HYPERLINK("https://raw.githubusercontent.com/marcosmapl/dataset_imigrantes/main/noticias_filtered/g1/haitianos/2021/04_mai/html/g1_987f924c-22ed-11ed-b24f-6dbe51e79fca_1682.html", "HTML")</f>
        <v/>
      </c>
      <c r="L617">
        <f>HYPERLINK("https://raw.githubusercontent.com/marcosmapl/dataset_imigrantes/main/noticias_filtered/g1/haitianos/2021/04_mai/txt/g1_987f924c-22ed-11ed-b24f-6dbe51e79fca_1682.txt", "TXT")</f>
        <v/>
      </c>
    </row>
    <row r="618">
      <c r="A618" s="1" t="n">
        <v>616</v>
      </c>
      <c r="B618" t="n">
        <v>2021</v>
      </c>
      <c r="C618" s="2" t="n">
        <v>44338.89435630787</v>
      </c>
      <c r="D618" t="inlineStr">
        <is>
          <t>G1</t>
        </is>
      </c>
      <c r="E618" t="inlineStr">
        <is>
          <t>VENEZUELANOS</t>
        </is>
      </c>
      <c r="F618" t="inlineStr">
        <is>
          <t>RORAIMA</t>
        </is>
      </c>
      <c r="G618" t="inlineStr">
        <is>
          <t>G1 RR — BOA VISTA</t>
        </is>
      </c>
      <c r="H618" t="inlineStr">
        <is>
          <t>CORPO ENCONTRADO ESQUARTEJADO DENTRO DE SACOS EM BOA VISTA ERA DE VENEZUELANO MORADOR DE RUA</t>
        </is>
      </c>
      <c r="I618" t="inlineStr">
        <is>
          <t>VÍTIMA ERA O MORADOR DE RUA, JOSÉ ANGEL MAESTRE ZABALA, DE 22 ANOS. O JOVEM TEVE BRAÇOS E PERNAS SEPARADOS DO TRONCO.</t>
        </is>
      </c>
      <c r="J618">
        <f>HYPERLINK("https://g1.globo.com/rr/roraima/noticia/2021/05/22/corpo-encontrado-esquartejado-dentro-de-sacos-em-boa-vista-era-de-venezuelano-morador-de-rua.ghtml", "URL")</f>
        <v/>
      </c>
      <c r="K618">
        <f>HYPERLINK("https://raw.githubusercontent.com/marcosmapl/dataset_imigrantes/main/noticias_filtered/g1/venezuelanos/2021/04_mai/html/g1_e83d84d2-230c-11ed-b24f-6dbe51e79fca_2656.html", "HTML")</f>
        <v/>
      </c>
      <c r="L618">
        <f>HYPERLINK("https://raw.githubusercontent.com/marcosmapl/dataset_imigrantes/main/noticias_filtered/g1/venezuelanos/2021/04_mai/txt/g1_e83d84d2-230c-11ed-b24f-6dbe51e79fca_2656.txt", "TXT")</f>
        <v/>
      </c>
    </row>
    <row r="619">
      <c r="A619" s="1" t="n">
        <v>617</v>
      </c>
      <c r="B619" t="n">
        <v>2021</v>
      </c>
      <c r="C619" s="2" t="n">
        <v>44338.87231762731</v>
      </c>
      <c r="D619" t="inlineStr">
        <is>
          <t>G1</t>
        </is>
      </c>
      <c r="E619" t="inlineStr">
        <is>
          <t>HAITIANOS</t>
        </is>
      </c>
      <c r="F619" t="inlineStr">
        <is>
          <t>MATO GROSSO</t>
        </is>
      </c>
      <c r="G619" t="inlineStr">
        <is>
          <t>KETHLYN MORAES, G1 MT</t>
        </is>
      </c>
      <c r="H619" t="inlineStr">
        <is>
          <t>PAIS TENTAM TRAZER FILHA DE 13 ANOS DO HAITI E FAZEM ALMOÇO BENEFICENTE EM CUIABÁ PARA ARRECADAR DINHEIRO</t>
        </is>
      </c>
      <c r="I619" t="inlineStr">
        <is>
          <t>O CASAL MORA EM CUIABÁ HÁ CINCO ANOS, TEMPO EM QUE ESTÃO SEM VER A FILHA, NAIKA. HÁ CINCO MESES, CONSEGUIRAM TRAZER A FILHA MAIS NOVA, BERLY, DE 6 ANOS.</t>
        </is>
      </c>
      <c r="J619">
        <f>HYPERLINK("https://g1.globo.com/mt/mato-grosso/noticia/2021/05/22/pais-fazem-almoco-beneficente-em-cuiaba-para-arrecadar-dinheiro-para-trazer-filha-de-13-anos-do-haiti.ghtml", "URL")</f>
        <v/>
      </c>
      <c r="K619">
        <f>HYPERLINK("https://raw.githubusercontent.com/marcosmapl/dataset_imigrantes/main/noticias_filtered/g1/haitianos/2021/04_mai/html/g1_77a262b0-2316-11ed-b24f-6dbe51e79fca_3149.html", "HTML")</f>
        <v/>
      </c>
      <c r="L619">
        <f>HYPERLINK("https://raw.githubusercontent.com/marcosmapl/dataset_imigrantes/main/noticias_filtered/g1/haitianos/2021/04_mai/txt/g1_77a262b0-2316-11ed-b24f-6dbe51e79fca_3149.txt", "TXT")</f>
        <v/>
      </c>
    </row>
    <row r="620">
      <c r="A620" s="1" t="n">
        <v>618</v>
      </c>
      <c r="B620" t="n">
        <v>2021</v>
      </c>
      <c r="C620" s="2" t="n">
        <v>44335.80224454861</v>
      </c>
      <c r="D620" t="inlineStr">
        <is>
          <t>G1</t>
        </is>
      </c>
      <c r="E620" t="inlineStr">
        <is>
          <t>HAITIANOS</t>
        </is>
      </c>
      <c r="F620" t="inlineStr">
        <is>
          <t>MATO GROSSO</t>
        </is>
      </c>
      <c r="G620" t="inlineStr">
        <is>
          <t>G1 MT</t>
        </is>
      </c>
      <c r="H620" t="inlineStr">
        <is>
          <t>HAITIANOS DENUNCIAM ATAQUES RACISTAS E XENOFÓBICOS INCENTIVADOS POR VENDEDORES AUTÔNOMOS EM CUIABÁ</t>
        </is>
      </c>
      <c r="I620" t="inlineStr">
        <is>
          <t>VÍTIMAS TRABALHAM COMO VENDEDORES AMBULANTES E CONTARAM QUE COLEGAS DE TRABALHO BRASILEIROS NÃO ACEITAM DIVIDIR O MESMO ESPAÇO NA CAPITAL.</t>
        </is>
      </c>
      <c r="J620">
        <f>HYPERLINK("https://g1.globo.com/mt/mato-grosso/noticia/2021/05/19/haitianos-denunciam-ataques-racistas-e-xenofobicos-incentivados-por-vendedores-autonomos-em-cuiaba.ghtml", "URL")</f>
        <v/>
      </c>
      <c r="K620">
        <f>HYPERLINK("https://raw.githubusercontent.com/marcosmapl/dataset_imigrantes/main/noticias_filtered/g1/haitianos/2021/04_mai/html/g1_186a68e0-22f5-11ed-b24f-6dbe51e79fca_1930.html", "HTML")</f>
        <v/>
      </c>
      <c r="L620">
        <f>HYPERLINK("https://raw.githubusercontent.com/marcosmapl/dataset_imigrantes/main/noticias_filtered/g1/haitianos/2021/04_mai/txt/g1_186a68e0-22f5-11ed-b24f-6dbe51e79fca_1930.txt", "TXT")</f>
        <v/>
      </c>
    </row>
    <row r="621">
      <c r="A621" s="1" t="n">
        <v>619</v>
      </c>
      <c r="B621" t="n">
        <v>2021</v>
      </c>
      <c r="C621" s="2" t="n">
        <v>44333.9263281713</v>
      </c>
      <c r="D621" t="inlineStr">
        <is>
          <t>G1</t>
        </is>
      </c>
      <c r="E621" t="inlineStr">
        <is>
          <t>VENEZUELANOS</t>
        </is>
      </c>
      <c r="F621" t="inlineStr">
        <is>
          <t>MATO GROSSO DO SUL</t>
        </is>
      </c>
      <c r="G621" t="inlineStr">
        <is>
          <t>G1MS</t>
        </is>
      </c>
      <c r="H621" t="inlineStr">
        <is>
          <t>CONSULADO DA VENEZUELA NO BRASIL FAZ MUTIRÃO PARA EMITIR DOCUMENTOS AOS IMIGRANTES RESIDENTES EM MS</t>
        </is>
      </c>
      <c r="I621" t="inlineStr">
        <is>
          <t>SEGUNDO A COORDENADORA DA ASSOCIAÇÃO DE VENEZUELANOS EM CAMPO GRANDE, MIRTHA CARPIO, O SERVIÇO FOI DIVULGADO EXCLUSIVAMENTE PARA AQUELES QUE POSSUEM DOCUMENTO BRASILEIRO.</t>
        </is>
      </c>
      <c r="J621">
        <f>HYPERLINK("https://g1.globo.com/ms/mato-grosso-do-sul/noticia/2021/05/17/consulado-nao-oficial-da-venezuela-faz-mutirao-para-emitir-documentos-aos-imigrantes-residentes-em-ms.ghtml", "URL")</f>
        <v/>
      </c>
      <c r="K621">
        <f>HYPERLINK("https://raw.githubusercontent.com/marcosmapl/dataset_imigrantes/main/noticias_filtered/g1/venezuelanos/2021/04_mai/html/g1_014889be-2316-11ed-b24f-6dbe51e79fca_3120.html", "HTML")</f>
        <v/>
      </c>
      <c r="L621">
        <f>HYPERLINK("https://raw.githubusercontent.com/marcosmapl/dataset_imigrantes/main/noticias_filtered/g1/venezuelanos/2021/04_mai/txt/g1_014889be-2316-11ed-b24f-6dbe51e79fca_3120.txt", "TXT")</f>
        <v/>
      </c>
    </row>
    <row r="622">
      <c r="A622" s="1" t="n">
        <v>620</v>
      </c>
      <c r="B622" t="n">
        <v>2021</v>
      </c>
      <c r="C622" s="2" t="n">
        <v>44330.64438800926</v>
      </c>
      <c r="D622" t="inlineStr">
        <is>
          <t>G1</t>
        </is>
      </c>
      <c r="E622" t="inlineStr">
        <is>
          <t>HAITIANOS</t>
        </is>
      </c>
      <c r="F622" t="inlineStr">
        <is>
          <t>AMAPÁ</t>
        </is>
      </c>
      <c r="G622" t="inlineStr">
        <is>
          <t>G1 AP — MACAPÁ</t>
        </is>
      </c>
      <c r="H622" t="inlineStr">
        <is>
          <t>CUBANOS E HAITIANO SÃO DETIDOS APÓS ENTRAREM CLANDESTINAMENTE NO AMAPÁ PELA GUIANA FRANCESA</t>
        </is>
      </c>
      <c r="I622" t="inlineStr">
        <is>
          <t>PRF FLAGROU PARTE DO GRUPO ESCONDIDO EM ÁREA DE MATA, E O RESTANTE EM FISCALIZAÇÕES EM VEÍCULOS, EM OIAPOQUE.</t>
        </is>
      </c>
      <c r="J622">
        <f>HYPERLINK("https://g1.globo.com/ap/amapa/noticia/2021/05/14/cubanos-e-haitiano-sao-detidos-apos-entrarem-clandestinamente-no-amapa-pela-guiana-francesa.ghtml", "URL")</f>
        <v/>
      </c>
      <c r="K622">
        <f>HYPERLINK("https://raw.githubusercontent.com/marcosmapl/dataset_imigrantes/main/noticias_filtered/g1/haitianos/2021/04_mai/html/g1_2ee83168-22f7-11ed-b24f-6dbe51e79fca_2064.html", "HTML")</f>
        <v/>
      </c>
      <c r="L622">
        <f>HYPERLINK("https://raw.githubusercontent.com/marcosmapl/dataset_imigrantes/main/noticias_filtered/g1/haitianos/2021/04_mai/txt/g1_2ee83168-22f7-11ed-b24f-6dbe51e79fca_2064.txt", "TXT")</f>
        <v/>
      </c>
    </row>
    <row r="623">
      <c r="A623" s="1" t="n">
        <v>621</v>
      </c>
      <c r="B623" t="n">
        <v>2021</v>
      </c>
      <c r="C623" s="2" t="n">
        <v>44330.54878472222</v>
      </c>
      <c r="D623" t="inlineStr">
        <is>
          <t>A CRITICA</t>
        </is>
      </c>
      <c r="E623" t="inlineStr">
        <is>
          <t>VENEZUELANOS</t>
        </is>
      </c>
      <c r="F623" t="inlineStr">
        <is>
          <t>ESPORTES</t>
        </is>
      </c>
      <c r="G623" t="inlineStr">
        <is>
          <t>DANIEL PRESTES</t>
        </is>
      </c>
      <c r="H623" t="inlineStr">
        <is>
          <t>SCF 3.0 TRAZ 10 LUTAS E PRESENÇA VIP DE KETLEN VIEIRA, LUTADORA DO UFC</t>
        </is>
      </c>
      <c r="I623" t="inlineStr">
        <is>
          <t>MAIN EVENT DO CARD PRINCIPAL SERÁ ENCABEÇADO PELO COMBATE ENTRE MANUEL SILVA E WERLESSON ‘GALINHO’ MARTINS, VALENDO O CINTURÃO DA CATEGORIA DOS GALOS</t>
        </is>
      </c>
      <c r="J623">
        <f>HYPERLINK("https://www.acritica.com/esportes/scf-3-0-traz-10-lutas-e-presenca-vip-de-ketlen-vieira-lutadora-do-ufc-1.17260", "URL")</f>
        <v/>
      </c>
      <c r="K623">
        <f>HYPERLINK("https://raw.githubusercontent.com/marcosmapl/dataset_imigrantes/main/noticias_filtered/a_critica/venezuelanos/2021/04_mai/html/1.17260_655.html", "HTML")</f>
        <v/>
      </c>
      <c r="L623">
        <f>HYPERLINK("https://raw.githubusercontent.com/marcosmapl/dataset_imigrantes/main/noticias_filtered/a_critica/venezuelanos/2021/04_mai/txt/1.17260_655.txt", "TXT")</f>
        <v/>
      </c>
    </row>
    <row r="624">
      <c r="A624" s="1" t="n">
        <v>622</v>
      </c>
      <c r="B624" t="n">
        <v>2021</v>
      </c>
      <c r="C624" s="2" t="n">
        <v>44327.60987171296</v>
      </c>
      <c r="D624" t="inlineStr">
        <is>
          <t>G1</t>
        </is>
      </c>
      <c r="E624" t="inlineStr">
        <is>
          <t>HAITIANOS</t>
        </is>
      </c>
      <c r="F624" t="inlineStr">
        <is>
          <t>OESTE E SUDOESTE</t>
        </is>
      </c>
      <c r="G624" t="inlineStr">
        <is>
          <t>RPC CASCAVEL — FOZ DO IGUAÇU</t>
        </is>
      </c>
      <c r="H624" t="inlineStr">
        <is>
          <t>EX-MARIDO É SUSPEITO DE MATAR MULHER A FACADAS AO TENTAR REATAR RELACIONAMENTO, NO PARANÁ, DIZ DELEGADO</t>
        </is>
      </c>
      <c r="I624" t="inlineStr">
        <is>
          <t>SEGUNDO O DELEGADO, MULHER HAITIANA, DE 28 ANOS, FOI ENCONTRADA MORTA DENTRO DE CASA, EM MARECHAL CÂNDIDO RONDON; SUSPEITO DEVIA CERCA DE R$ 8 MIL À VÍTIMA E ESTÁ FORAGIDO.</t>
        </is>
      </c>
      <c r="J624">
        <f>HYPERLINK("https://g1.globo.com/pr/oeste-sudoeste/noticia/2021/05/11/ex-marido-e-suspeito-de-matar-mulher-a-facadas-ao-tentar-reatar-relacionamento-no-parana-diz-delegado.ghtml", "URL")</f>
        <v/>
      </c>
      <c r="K624">
        <f>HYPERLINK("https://raw.githubusercontent.com/marcosmapl/dataset_imigrantes/main/noticias_filtered/g1/haitianos/2021/04_mai/html/g1_d32f2074-2310-11ed-b24f-6dbe51e79fca_2878.html", "HTML")</f>
        <v/>
      </c>
      <c r="L624">
        <f>HYPERLINK("https://raw.githubusercontent.com/marcosmapl/dataset_imigrantes/main/noticias_filtered/g1/haitianos/2021/04_mai/txt/g1_d32f2074-2310-11ed-b24f-6dbe51e79fca_2878.txt", "TXT")</f>
        <v/>
      </c>
    </row>
    <row r="625">
      <c r="A625" s="1" t="n">
        <v>623</v>
      </c>
      <c r="B625" t="n">
        <v>2021</v>
      </c>
      <c r="C625" s="2" t="n">
        <v>44327.5567278125</v>
      </c>
      <c r="D625" t="inlineStr">
        <is>
          <t>G1</t>
        </is>
      </c>
      <c r="E625" t="inlineStr">
        <is>
          <t>HAITIANOS</t>
        </is>
      </c>
      <c r="F625" t="inlineStr">
        <is>
          <t>MUNDO</t>
        </is>
      </c>
      <c r="G625" t="inlineStr">
        <is>
          <t>BBC</t>
        </is>
      </c>
      <c r="H625" t="inlineStr">
        <is>
          <t>RACISMO: O BRASILEIRO POR TRÁS DE AÇÃO PIONEIRA CONTRA SEGREGAÇÃO NOS EUA EM 1833</t>
        </is>
      </c>
      <c r="I625" t="inlineStr">
        <is>
          <t>HÁ QUASE 200 ANOS, UM REVOLUCIONÁRIO PERNAMBUCANO DESAFIOU O RACISMO NA JUSTIÇA AMERICANA: CONHEÇA O RESGATE DE SUA HISTÓRIA</t>
        </is>
      </c>
      <c r="J625">
        <f>HYPERLINK("https://g1.globo.com/mundo/noticia/2021/05/11/racismo-o-brasileiro-por-tras-de-acao-pioneira-contra-segregacao-nos-eua-em-1833.ghtml", "URL")</f>
        <v/>
      </c>
      <c r="K625">
        <f>HYPERLINK("https://raw.githubusercontent.com/marcosmapl/dataset_imigrantes/main/noticias_filtered/g1/haitianos/2021/04_mai/html/g1_6db1628e-2329-11ed-b24f-6dbe51e79fca_4116.html", "HTML")</f>
        <v/>
      </c>
      <c r="L625">
        <f>HYPERLINK("https://raw.githubusercontent.com/marcosmapl/dataset_imigrantes/main/noticias_filtered/g1/haitianos/2021/04_mai/txt/g1_6db1628e-2329-11ed-b24f-6dbe51e79fca_4116.txt", "TXT")</f>
        <v/>
      </c>
    </row>
    <row r="626">
      <c r="A626" s="1" t="n">
        <v>624</v>
      </c>
      <c r="B626" t="n">
        <v>2021</v>
      </c>
      <c r="C626" s="2" t="n">
        <v>44325.41711181713</v>
      </c>
      <c r="D626" t="inlineStr">
        <is>
          <t>G1</t>
        </is>
      </c>
      <c r="E626" t="inlineStr">
        <is>
          <t>VENEZUELANOS</t>
        </is>
      </c>
      <c r="F626" t="inlineStr">
        <is>
          <t>RORAIMA</t>
        </is>
      </c>
      <c r="G626" t="inlineStr">
        <is>
          <t>VANESSA FERNANDES, G1 RR — BOA VISTA</t>
        </is>
      </c>
      <c r="H626" t="inlineStr">
        <is>
          <t>SOZINHAS E SEM DINHEIRO, MÃES VENEZUELANAS SE ARRISCAM EM ROTAS CLANDESTINAS PARA CHEGAR AO BRASIL: 'LUZ NO FIM DO TÚNEL'</t>
        </is>
      </c>
      <c r="I626" t="inlineStr">
        <is>
          <t>OPERAÇÃO ACOLHIDA ATENDEU 351 MÃES COM FILHOS QUE ENTRARAM NO BRASIL DE FORMA CLANDESTINA DESDE MARÇO DO ANO PASSADO, QUANDO A FRONTEIRA FOI FECHADA.</t>
        </is>
      </c>
      <c r="J626">
        <f>HYPERLINK("https://g1.globo.com/rr/roraima/noticia/2021/05/09/sozinhas-e-sem-dinheiro-maes-venezuelanas-se-arriscam-em-rotas-clandestinas-para-chegar-ao-brasil-luz-no-fim-do-tunel.ghtml", "URL")</f>
        <v/>
      </c>
      <c r="K626">
        <f>HYPERLINK("https://raw.githubusercontent.com/marcosmapl/dataset_imigrantes/main/noticias_filtered/g1/venezuelanos/2021/04_mai/html/g1_fdc8c7d4-2326-11ed-b24f-6dbe51e79fca_4011.html", "HTML")</f>
        <v/>
      </c>
      <c r="L626">
        <f>HYPERLINK("https://raw.githubusercontent.com/marcosmapl/dataset_imigrantes/main/noticias_filtered/g1/venezuelanos/2021/04_mai/txt/g1_fdc8c7d4-2326-11ed-b24f-6dbe51e79fca_4011.txt", "TXT")</f>
        <v/>
      </c>
    </row>
    <row r="627">
      <c r="A627" s="1" t="n">
        <v>625</v>
      </c>
      <c r="B627" t="n">
        <v>2021</v>
      </c>
      <c r="C627" s="2" t="n">
        <v>44324.57569444444</v>
      </c>
      <c r="D627" t="inlineStr">
        <is>
          <t>A CRITICA</t>
        </is>
      </c>
      <c r="E627" t="inlineStr">
        <is>
          <t>VENEZUELANOS</t>
        </is>
      </c>
      <c r="F627" t="inlineStr">
        <is>
          <t>MANAUS</t>
        </is>
      </c>
      <c r="G627" t="inlineStr">
        <is>
          <t>PORTAL A CRÍTICA</t>
        </is>
      </c>
      <c r="H627" t="inlineStr">
        <is>
          <t>BOMBEIROS RESGATARAM 55 PESSOAS DE PRÉDIO QUE PEGOU FOGO; NÃO HOUVE VÍTIMAS FATAIS</t>
        </is>
      </c>
      <c r="I627" t="inlineStr">
        <is>
          <t>MUITOS MORADORES, INCLUSIVE CRIANÇAS, TIVERAM INTOXICAÇÃO E FORAM ENCAMINHADOS A HOSPITAIS; UMA MULHER TEVE FRATURA NO TORNOZELO E FOI LEVADA AO 28 DE AGOSTO</t>
        </is>
      </c>
      <c r="J627">
        <f>HYPERLINK("https://www.acritica.com/manaus/bombeiros-resgataram-55-pessoas-de-predio-que-pegou-fogo-n-o-houve-vitimas-fatais-1.18596", "URL")</f>
        <v/>
      </c>
      <c r="K627">
        <f>HYPERLINK("https://raw.githubusercontent.com/marcosmapl/dataset_imigrantes/main/noticias_filtered/a_critica/venezuelanos/2021/04_mai/html/1.18596_230.html", "HTML")</f>
        <v/>
      </c>
      <c r="L627">
        <f>HYPERLINK("https://raw.githubusercontent.com/marcosmapl/dataset_imigrantes/main/noticias_filtered/a_critica/venezuelanos/2021/04_mai/txt/1.18596_230.txt", "TXT")</f>
        <v/>
      </c>
    </row>
    <row r="628">
      <c r="A628" s="1" t="n">
        <v>626</v>
      </c>
      <c r="B628" t="n">
        <v>2021</v>
      </c>
      <c r="C628" s="2" t="n">
        <v>44324.52196759259</v>
      </c>
      <c r="D628" t="inlineStr">
        <is>
          <t>A CRITICA</t>
        </is>
      </c>
      <c r="E628" t="inlineStr">
        <is>
          <t>VENEZUELANOS</t>
        </is>
      </c>
      <c r="F628" t="inlineStr">
        <is>
          <t>MANAUS</t>
        </is>
      </c>
      <c r="G628" t="inlineStr">
        <is>
          <t>PORTAL A CRÍTICA</t>
        </is>
      </c>
      <c r="H628" t="inlineStr">
        <is>
          <t>INCÊNDIO ATINGE PRÉDIO RESIDENCIAL NO CENTRO E MORADORES SÃO RESGATADOS</t>
        </is>
      </c>
      <c r="I628" t="inlineStr">
        <is>
          <t>CORPO DE BOMBEIROS PRECISARAM RESGATAR MORADORES PELO TETO DO PRÉDIO, INCLUSIVE CRIANÇAS DE COLO; QUARTOS SÃO ALUGADOS POR VENEZUELANOS</t>
        </is>
      </c>
      <c r="J628">
        <f>HYPERLINK("https://www.acritica.com/manaus/incendio-atinge-predio-residencial-no-centro-e-moradores-s-o-resgatados-1.18602", "URL")</f>
        <v/>
      </c>
      <c r="K628">
        <f>HYPERLINK("https://raw.githubusercontent.com/marcosmapl/dataset_imigrantes/main/noticias_filtered/a_critica/venezuelanos/2021/04_mai/html/1.18602_1356.html", "HTML")</f>
        <v/>
      </c>
      <c r="L628">
        <f>HYPERLINK("https://raw.githubusercontent.com/marcosmapl/dataset_imigrantes/main/noticias_filtered/a_critica/venezuelanos/2021/04_mai/txt/1.18602_1356.txt", "TXT")</f>
        <v/>
      </c>
    </row>
    <row r="629">
      <c r="A629" s="1" t="n">
        <v>627</v>
      </c>
      <c r="B629" t="n">
        <v>2021</v>
      </c>
      <c r="C629" s="2" t="n">
        <v>44320.75935461806</v>
      </c>
      <c r="D629" t="inlineStr">
        <is>
          <t>G1</t>
        </is>
      </c>
      <c r="E629" t="inlineStr">
        <is>
          <t>VENEZUELANOS</t>
        </is>
      </c>
      <c r="F629" t="inlineStr">
        <is>
          <t>TOCANTINS</t>
        </is>
      </c>
      <c r="G629" t="inlineStr">
        <is>
          <t>G1 TOCANTINS</t>
        </is>
      </c>
      <c r="H629" t="inlineStr">
        <is>
          <t>JUSTIÇA DETERMINA INCLUSÃO DE VENEZUELANOS EM PROGRAMA SOCIAL; 60 PESSOAS VIVEM EM CASA IMPROVISADA EM ARAGUAÍNA</t>
        </is>
      </c>
      <c r="I629" t="inlineStr">
        <is>
          <t>JUSTIÇA FEDERAL DEU UM PRAZO DE 72 HORAS PARA QUE ESTADO DO TOCANTINS INCLUA AS FAMÍLIAS NO PROGRAMA ALUGUEL SOCIAL. VENEZUELANOS VIVEM EM CONDIÇÕES PRECÁRIAS NA CIDADE.</t>
        </is>
      </c>
      <c r="J629">
        <f>HYPERLINK("https://g1.globo.com/to/tocantins/noticia/2021/05/04/justica-determina-inclusao-de-venezuelanos-em-programa-social-60-pessoas-vivem-em-casa-improvisada-em-araguaina.ghtml", "URL")</f>
        <v/>
      </c>
      <c r="K629">
        <f>HYPERLINK("https://raw.githubusercontent.com/marcosmapl/dataset_imigrantes/main/noticias_filtered/g1/venezuelanos/2021/04_mai/html/g1_b2e80b82-2329-11ed-b24f-6dbe51e79fca_4133.html", "HTML")</f>
        <v/>
      </c>
      <c r="L629">
        <f>HYPERLINK("https://raw.githubusercontent.com/marcosmapl/dataset_imigrantes/main/noticias_filtered/g1/venezuelanos/2021/04_mai/txt/g1_b2e80b82-2329-11ed-b24f-6dbe51e79fca_4133.txt", "TXT")</f>
        <v/>
      </c>
    </row>
    <row r="630">
      <c r="A630" s="1" t="n">
        <v>628</v>
      </c>
      <c r="B630" t="n">
        <v>2021</v>
      </c>
      <c r="C630" s="2" t="n">
        <v>44320.71520833333</v>
      </c>
      <c r="D630" t="inlineStr">
        <is>
          <t>A CRITICA</t>
        </is>
      </c>
      <c r="E630" t="inlineStr">
        <is>
          <t>VENEZUELANOS</t>
        </is>
      </c>
      <c r="F630" t="inlineStr"/>
      <c r="G630" t="inlineStr">
        <is>
          <t>PORTAL A CRÍTICA</t>
        </is>
      </c>
      <c r="H630" t="inlineStr">
        <is>
          <t>‘AS RESPONSABILIDADES DEVEM SER APURADAS’, DIZ SERAFIM APÓS INUNDAÇÃO DESTRUIR ABRIGO</t>
        </is>
      </c>
      <c r="I630" t="inlineStr">
        <is>
          <t>O DEPUTADO DEFENDEU QUE A PREFEITURA DE MANAUS REALIZE UMA PERÍCIA PARA IDENTIFICAR CAUSAS E POSSÍVEIS RESPONSÁVEIS PELA INUNDAÇÃO</t>
        </is>
      </c>
      <c r="J630">
        <f>HYPERLINK("https://www.acritica.com/as-responsabilidades-devem-ser-apuradas-diz-serafim-apos-inundac-o-destruir-abrigo-1.17690", "URL")</f>
        <v/>
      </c>
      <c r="K630">
        <f>HYPERLINK("https://raw.githubusercontent.com/marcosmapl/dataset_imigrantes/main/noticias_filtered/a_critica/venezuelanos/2021/04_mai/html/1.17690_546.html", "HTML")</f>
        <v/>
      </c>
      <c r="L630">
        <f>HYPERLINK("https://raw.githubusercontent.com/marcosmapl/dataset_imigrantes/main/noticias_filtered/a_critica/venezuelanos/2021/04_mai/txt/1.17690_546.txt", "TXT")</f>
        <v/>
      </c>
    </row>
    <row r="631">
      <c r="A631" s="1" t="n">
        <v>629</v>
      </c>
      <c r="B631" t="n">
        <v>2021</v>
      </c>
      <c r="C631" s="2" t="n">
        <v>44320.69415509259</v>
      </c>
      <c r="D631" t="inlineStr">
        <is>
          <t>A CRITICA</t>
        </is>
      </c>
      <c r="E631" t="inlineStr">
        <is>
          <t>VENEZUELANOS</t>
        </is>
      </c>
      <c r="F631" t="inlineStr"/>
      <c r="G631" t="inlineStr">
        <is>
          <t>PORTAL A CRÍTICA</t>
        </is>
      </c>
      <c r="H631" t="inlineStr">
        <is>
          <t>CRIANÇAS E ADULTOS VENEZUELANOS ATUALIZAM A CADERNETA DE VACINAÇÃO EM MANAUS</t>
        </is>
      </c>
      <c r="I631" t="inlineStr">
        <is>
          <t>A ATIVIDADE COMEÇOU DURANTE A SEMANA MUNDIAL DE IMUNIZAÇÃO E SE ESTENDE ATÉ 12 DE MAIO NO POSTO DE RECEPÇÃO E APOIO (PRA) NA CAPITAL AMAZONENSE</t>
        </is>
      </c>
      <c r="J631">
        <f>HYPERLINK("https://www.acritica.com/criancas-e-adultos-venezuelanos-atualizam-a-caderneta-de-vacinac-o-em-manaus-1.17694", "URL")</f>
        <v/>
      </c>
      <c r="K631">
        <f>HYPERLINK("https://raw.githubusercontent.com/marcosmapl/dataset_imigrantes/main/noticias_filtered/a_critica/venezuelanos/2021/04_mai/html/1.17694_502.html", "HTML")</f>
        <v/>
      </c>
      <c r="L631">
        <f>HYPERLINK("https://raw.githubusercontent.com/marcosmapl/dataset_imigrantes/main/noticias_filtered/a_critica/venezuelanos/2021/04_mai/txt/1.17694_502.txt", "TXT")</f>
        <v/>
      </c>
    </row>
    <row r="632">
      <c r="A632" s="1" t="n">
        <v>630</v>
      </c>
      <c r="B632" t="n">
        <v>2021</v>
      </c>
      <c r="C632" s="2" t="n">
        <v>44320.06879679398</v>
      </c>
      <c r="D632" t="inlineStr">
        <is>
          <t>G1</t>
        </is>
      </c>
      <c r="E632" t="inlineStr">
        <is>
          <t>VENEZUELANOS</t>
        </is>
      </c>
      <c r="F632" t="inlineStr">
        <is>
          <t>AMAZONAS</t>
        </is>
      </c>
      <c r="G632" t="inlineStr">
        <is>
          <t>PATRICK MARQUES, G1 AM</t>
        </is>
      </c>
      <c r="H632" t="inlineStr">
        <is>
          <t>APÓS CHUVA DESTRUIR ABRIGO, VENEZUELANOS SÃO TRANSFERIDOS PARA A VILA OLÍMPICA DE MANAUS</t>
        </is>
      </c>
      <c r="I632" t="inlineStr">
        <is>
          <t>ELES DEVEM PERMANECER EM ALOJAMENTO PARA ATLETAS ATÉ QUE SEJAM TRANSFERIDOS PARA OUTROS ESTADOS.</t>
        </is>
      </c>
      <c r="J632">
        <f>HYPERLINK("https://g1.globo.com/am/amazonas/noticia/2021/05/03/apos-chuva-destruir-abrigo-venezuelanos-sao-transferidos-para-a-vila-olimpica-de-manaus.ghtml", "URL")</f>
        <v/>
      </c>
      <c r="K632">
        <f>HYPERLINK("https://raw.githubusercontent.com/marcosmapl/dataset_imigrantes/main/noticias_filtered/g1/venezuelanos/2021/04_mai/html/g1_e6fe8308-2322-11ed-b24f-6dbe51e79fca_3778.html", "HTML")</f>
        <v/>
      </c>
      <c r="L632">
        <f>HYPERLINK("https://raw.githubusercontent.com/marcosmapl/dataset_imigrantes/main/noticias_filtered/g1/venezuelanos/2021/04_mai/txt/g1_e6fe8308-2322-11ed-b24f-6dbe51e79fca_3778.txt", "TXT")</f>
        <v/>
      </c>
    </row>
    <row r="633">
      <c r="A633" s="1" t="n">
        <v>631</v>
      </c>
      <c r="B633" t="n">
        <v>2021</v>
      </c>
      <c r="C633" s="2" t="n">
        <v>44320.03541666667</v>
      </c>
      <c r="D633" t="inlineStr">
        <is>
          <t>A CRITICA</t>
        </is>
      </c>
      <c r="E633" t="inlineStr">
        <is>
          <t>VENEZUELANOS</t>
        </is>
      </c>
      <c r="F633" t="inlineStr">
        <is>
          <t>MANAUS</t>
        </is>
      </c>
      <c r="G633" t="inlineStr">
        <is>
          <t>GABRIELLY GENTIL</t>
        </is>
      </c>
      <c r="H633" t="inlineStr">
        <is>
          <t>VENEZUELANOS ATINGIDOS POR ENXURRADA SÃO TRANSFERIDOS PARA VILA OLÍMPICA</t>
        </is>
      </c>
      <c r="I633" t="inlineStr">
        <is>
          <t>DE ACORDO COM A TITULAR DA SECRETARIA DE ESTADO DA ASSISTÊNCIA SOCIAL (SEAS), ALESSANDRA CAMPÊLO, OS VENEZUELANOS IRÃO FICAR NA VILA OLÍMPICA, ATÉ QUE POSSAM SER TRANSFERIDOS PARA OUTROS ESTADOS, ENQUANTO ISSO, AS PESSOAS PODEM IR ATÉ O LOCAL PARA FAZER DOAÇÕES DE ROUPAS</t>
        </is>
      </c>
      <c r="J633">
        <f>HYPERLINK("https://www.acritica.com/manaus/venezuelanos-atingidos-por-enxurrada-s-o-transferidos-para-vila-olimpica-1.17736", "URL")</f>
        <v/>
      </c>
      <c r="K633">
        <f>HYPERLINK("https://raw.githubusercontent.com/marcosmapl/dataset_imigrantes/main/noticias_filtered/a_critica/venezuelanos/2021/04_mai/html/1.17736_1368.html", "HTML")</f>
        <v/>
      </c>
      <c r="L633">
        <f>HYPERLINK("https://raw.githubusercontent.com/marcosmapl/dataset_imigrantes/main/noticias_filtered/a_critica/venezuelanos/2021/04_mai/txt/1.17736_1368.txt", "TXT")</f>
        <v/>
      </c>
    </row>
    <row r="634">
      <c r="A634" s="1" t="n">
        <v>632</v>
      </c>
      <c r="B634" t="n">
        <v>2021</v>
      </c>
      <c r="C634" s="2" t="n">
        <v>44319.79516203704</v>
      </c>
      <c r="D634" t="inlineStr">
        <is>
          <t>A CRITICA</t>
        </is>
      </c>
      <c r="E634" t="inlineStr">
        <is>
          <t>VENEZUELANOS</t>
        </is>
      </c>
      <c r="F634" t="inlineStr">
        <is>
          <t>POLICIA</t>
        </is>
      </c>
      <c r="G634" t="inlineStr">
        <is>
          <t>GABRIELLY GENTIL</t>
        </is>
      </c>
      <c r="H634" t="inlineStr">
        <is>
          <t>PERÍCIA DEVE EXPLICAR ROMPIMENTO DE MURO EM ABRIGO PARA VENEZUELANOS</t>
        </is>
      </c>
      <c r="I634" t="inlineStr">
        <is>
          <t>DE ACORDO COM A DEFESA CIVIL DO MUNICÍPIO, OITO PESSOAS FORAM REMOVIDAS PARA UNIDADES DE SAÚDE. DENTRE AS VÍTIMAS, UMA GRÁVIDA, E UM BEBÊ.</t>
        </is>
      </c>
      <c r="J634">
        <f>HYPERLINK("https://www.acritica.com/policia/pericia-deve-explicar-rompimento-de-muro-em-abrigo-para-venezuelanos-1.18824", "URL")</f>
        <v/>
      </c>
      <c r="K634">
        <f>HYPERLINK("https://raw.githubusercontent.com/marcosmapl/dataset_imigrantes/main/noticias_filtered/a_critica/venezuelanos/2021/04_mai/html/1.18824_1227.html", "HTML")</f>
        <v/>
      </c>
      <c r="L634">
        <f>HYPERLINK("https://raw.githubusercontent.com/marcosmapl/dataset_imigrantes/main/noticias_filtered/a_critica/venezuelanos/2021/04_mai/txt/1.18824_1227.txt", "TXT")</f>
        <v/>
      </c>
    </row>
    <row r="635">
      <c r="A635" s="1" t="n">
        <v>633</v>
      </c>
      <c r="B635" t="n">
        <v>2021</v>
      </c>
      <c r="C635" s="2" t="n">
        <v>44319.75822916667</v>
      </c>
      <c r="D635" t="inlineStr">
        <is>
          <t>A CRITICA</t>
        </is>
      </c>
      <c r="E635" t="inlineStr">
        <is>
          <t>VENEZUELANOS</t>
        </is>
      </c>
      <c r="F635" t="inlineStr">
        <is>
          <t>OPINIAO</t>
        </is>
      </c>
      <c r="G635" t="inlineStr">
        <is>
          <t>DULCE RODRIGUEZ</t>
        </is>
      </c>
      <c r="H635" t="inlineStr">
        <is>
          <t>O QUE PASSA UMA JORNALISTA VENEZUELANA PARA NOTICIAR AS AÇÕES DO REGIME</t>
        </is>
      </c>
      <c r="I635" t="inlineStr">
        <is>
          <t>NO DIA INTERNACIONAL DA LIBERDADE DE IMPRENSA QUERO LHES CONTAR COMO O DIREITO DOS PROFISSIONAIS DA MÍDIA É CENSURADO NO MEU PAÍS</t>
        </is>
      </c>
      <c r="J635">
        <f>HYPERLINK("https://www.acritica.com/opiniao/o-que-passa-uma-jornalista-venezuelana-para-noticiar-as-ac-es-do-regime-1.215500", "URL")</f>
        <v/>
      </c>
      <c r="K635">
        <f>HYPERLINK("https://raw.githubusercontent.com/marcosmapl/dataset_imigrantes/main/noticias_filtered/a_critica/venezuelanos/2021/04_mai/html/1.215500_406.html", "HTML")</f>
        <v/>
      </c>
      <c r="L635">
        <f>HYPERLINK("https://raw.githubusercontent.com/marcosmapl/dataset_imigrantes/main/noticias_filtered/a_critica/venezuelanos/2021/04_mai/txt/1.215500_406.txt", "TXT")</f>
        <v/>
      </c>
    </row>
    <row r="636">
      <c r="A636" s="1" t="n">
        <v>634</v>
      </c>
      <c r="B636" t="n">
        <v>2021</v>
      </c>
      <c r="C636" s="2" t="n">
        <v>44317.94877314815</v>
      </c>
      <c r="D636" t="inlineStr">
        <is>
          <t>A CRITICA</t>
        </is>
      </c>
      <c r="E636" t="inlineStr">
        <is>
          <t>VENEZUELANOS</t>
        </is>
      </c>
      <c r="F636" t="inlineStr"/>
      <c r="G636" t="inlineStr">
        <is>
          <t>AFP</t>
        </is>
      </c>
      <c r="H636" t="inlineStr">
        <is>
          <t>VENEZUELA AUMENTA SALÁRIO MÍNIMO EM QUASE 300%</t>
        </is>
      </c>
      <c r="I636" t="inlineStr">
        <is>
          <t>“ENTRA EM VIGOR UM AUMENTO DO SALÁRIO MÍNIMO PARA 7 MILHÕES DE BOLÍVARES”, EQUIVALENTE A 2,5 DÓLARES. ATUALMENTE, O SALÁRIO NO BRASIL EQUIVALE A 202,26 DÓLARES</t>
        </is>
      </c>
      <c r="J636">
        <f>HYPERLINK("https://www.acritica.com/venezuela-aumenta-salario-minimo-em-quase-300-1.18872", "URL")</f>
        <v/>
      </c>
      <c r="K636">
        <f>HYPERLINK("https://raw.githubusercontent.com/marcosmapl/dataset_imigrantes/main/noticias_filtered/a_critica/venezuelanos/2021/04_mai/html/1.18872_595.html", "HTML")</f>
        <v/>
      </c>
      <c r="L636">
        <f>HYPERLINK("https://raw.githubusercontent.com/marcosmapl/dataset_imigrantes/main/noticias_filtered/a_critica/venezuelanos/2021/04_mai/txt/1.18872_595.txt", "TXT")</f>
        <v/>
      </c>
    </row>
    <row r="637">
      <c r="A637" s="1" t="n">
        <v>635</v>
      </c>
      <c r="B637" t="n">
        <v>2021</v>
      </c>
      <c r="C637" s="2" t="n">
        <v>44316.77058319445</v>
      </c>
      <c r="D637" t="inlineStr">
        <is>
          <t>G1</t>
        </is>
      </c>
      <c r="E637" t="inlineStr">
        <is>
          <t>HAITIANOS</t>
        </is>
      </c>
      <c r="F637" t="inlineStr">
        <is>
          <t>CAMPOS GERAIS E SUL</t>
        </is>
      </c>
      <c r="G637" t="inlineStr">
        <is>
          <t>G1 PR</t>
        </is>
      </c>
      <c r="H637" t="inlineStr">
        <is>
          <t>HOMEM É PRESO SUSPEITO DE ESTUPRAR CRIANÇA DE 8 ANOS EM PONTA GROSSA</t>
        </is>
      </c>
      <c r="I637" t="inlineStr">
        <is>
          <t>SEGUNDO POLÍCIA, VÍTIMA É FILHA DE UM CASAL DE HAITIANOS QUE ACOLHEU O SUSPEITO, TAMBÉM NATURAL DO HAITI, QUANDO HOMEM DE 42 CHEGOU AO BRASIL. PRISÃO ACONTECEU NESTA SEXTA (30).</t>
        </is>
      </c>
      <c r="J637">
        <f>HYPERLINK("https://g1.globo.com/pr/campos-gerais-sul/noticia/2021/04/30/homem-e-preso-suspeito-de-estuprar-crianca-de-8-anos-em-ponta-grossa.ghtml", "URL")</f>
        <v/>
      </c>
      <c r="K637">
        <f>HYPERLINK("https://raw.githubusercontent.com/marcosmapl/dataset_imigrantes/main/noticias_filtered/g1/haitianos/2021/03_abr/html/g1_c7540c62-22f0-11ed-b24f-6dbe51e79fca_1720.html", "HTML")</f>
        <v/>
      </c>
      <c r="L637">
        <f>HYPERLINK("https://raw.githubusercontent.com/marcosmapl/dataset_imigrantes/main/noticias_filtered/g1/haitianos/2021/03_abr/txt/g1_c7540c62-22f0-11ed-b24f-6dbe51e79fca_1720.txt", "TXT")</f>
        <v/>
      </c>
    </row>
    <row r="638">
      <c r="A638" s="1" t="n">
        <v>636</v>
      </c>
      <c r="B638" t="n">
        <v>2021</v>
      </c>
      <c r="C638" s="2" t="n">
        <v>44316.46711805555</v>
      </c>
      <c r="D638" t="inlineStr">
        <is>
          <t>A CRITICA</t>
        </is>
      </c>
      <c r="E638" t="inlineStr">
        <is>
          <t>VENEZUELANOS</t>
        </is>
      </c>
      <c r="F638" t="inlineStr">
        <is>
          <t>ESPORTES</t>
        </is>
      </c>
      <c r="G638" t="inlineStr">
        <is>
          <t>DANIEL PRESTES</t>
        </is>
      </c>
      <c r="H638" t="inlineStr">
        <is>
          <t>CRIA DO RING BOXE, PUGILISTA MORRAMAD ARAÚJO FALA DAS DIFICULDADES EM RETOMAR O PROJETO: 'TAREFA MUITO DIFÍCIL'</t>
        </is>
      </c>
      <c r="I638" t="inlineStr">
        <is>
          <t>A AÇÃO SOCIAL IDEALIZADA PELO EX-BOXEADOR PEDRO NUNES, FALECIDO EM 2019, ESTÁ PARADA DESDE O INÍCIO DA PANDEMIA E BUSCA RECURSOS PARA RETOMAR AS ATIVIDADES</t>
        </is>
      </c>
      <c r="J638">
        <f>HYPERLINK("https://www.acritica.com/esportes/cria-do-ring-boxe-pugilista-morramad-araujo-fala-das-dificuldades-em-retomar-o-projeto-tarefa-muito-dificil-1.17752", "URL")</f>
        <v/>
      </c>
      <c r="K638">
        <f>HYPERLINK("https://raw.githubusercontent.com/marcosmapl/dataset_imigrantes/main/noticias_filtered/a_critica/venezuelanos/2021/03_abr/html/1.17752_1322.html", "HTML")</f>
        <v/>
      </c>
      <c r="L638">
        <f>HYPERLINK("https://raw.githubusercontent.com/marcosmapl/dataset_imigrantes/main/noticias_filtered/a_critica/venezuelanos/2021/03_abr/txt/1.17752_1322.txt", "TXT")</f>
        <v/>
      </c>
    </row>
    <row r="639">
      <c r="A639" s="1" t="n">
        <v>637</v>
      </c>
      <c r="B639" t="n">
        <v>2021</v>
      </c>
      <c r="C639" s="2" t="n">
        <v>44312.97171614583</v>
      </c>
      <c r="D639" t="inlineStr">
        <is>
          <t>G1</t>
        </is>
      </c>
      <c r="E639" t="inlineStr">
        <is>
          <t>VENEZUELANOS</t>
        </is>
      </c>
      <c r="F639" t="inlineStr">
        <is>
          <t>BAHIA</t>
        </is>
      </c>
      <c r="G639" t="inlineStr">
        <is>
          <t>TV SANTA CRUZ</t>
        </is>
      </c>
      <c r="H639" t="inlineStr">
        <is>
          <t>APÓS 14 DIAS, GRUPO DE VENEZUELANOS QUE BUSCOU REFÚGIO EM ITABUNA DEIXA CIDADE E VAI PARA TEIXEIRA DE FREITAS</t>
        </is>
      </c>
      <c r="I639" t="inlineStr">
        <is>
          <t>DE ACORDO COM A SECRETARIA SOCIAL DE TEIXEIRA DE FREITAS, PARTE DO GRUPO TEM COM O DESTINO FINAL O ESTADO DE SÃO PAULO.</t>
        </is>
      </c>
      <c r="J639">
        <f>HYPERLINK("https://g1.globo.com/ba/bahia/noticia/2021/04/26/grupo-de-venezuelanos-que-buscou-refugio-em-itabuna-deixa-cidade-e-vai-para-teixeira-de-freitas.ghtml", "URL")</f>
        <v/>
      </c>
      <c r="K639">
        <f>HYPERLINK("https://raw.githubusercontent.com/marcosmapl/dataset_imigrantes/main/noticias_filtered/g1/venezuelanos/2021/03_abr/html/g1_1e818ad2-2323-11ed-b24f-6dbe51e79fca_3789.html", "HTML")</f>
        <v/>
      </c>
      <c r="L639">
        <f>HYPERLINK("https://raw.githubusercontent.com/marcosmapl/dataset_imigrantes/main/noticias_filtered/g1/venezuelanos/2021/03_abr/txt/g1_1e818ad2-2323-11ed-b24f-6dbe51e79fca_3789.txt", "TXT")</f>
        <v/>
      </c>
    </row>
    <row r="640">
      <c r="A640" s="1" t="n">
        <v>638</v>
      </c>
      <c r="B640" t="n">
        <v>2021</v>
      </c>
      <c r="C640" s="2" t="n">
        <v>44312.61924271991</v>
      </c>
      <c r="D640" t="inlineStr">
        <is>
          <t>G1</t>
        </is>
      </c>
      <c r="E640" t="inlineStr">
        <is>
          <t>VENEZUELANOS</t>
        </is>
      </c>
      <c r="F640" t="inlineStr">
        <is>
          <t>SANTARÉM E REGIÃO</t>
        </is>
      </c>
      <c r="G640" t="inlineStr">
        <is>
          <t>G1 SANTARÉM — PARÁ</t>
        </is>
      </c>
      <c r="H640" t="inlineStr">
        <is>
          <t>ATENDENDO AO MPF, INDÍGENAS VENEZUELANOS WARAO SÃO VACINADOS CONTRA A COVID-19 EM SANTARÉM</t>
        </is>
      </c>
      <c r="I640" t="inlineStr">
        <is>
          <t>47 PESSOAS RECEBERAM A 1ª DOSE DO IMUNIZANTE NO FIM DE SEMANA, ALÉM DE ATENDIMENTO MÉDICO E MEDICAMENTOS.</t>
        </is>
      </c>
      <c r="J640">
        <f>HYPERLINK("https://g1.globo.com/pa/santarem-regiao/noticia/2021/04/26/atendendo-ao-mpf-indigenas-venezuelanos-warao-sao-vacinados-contra-a-covid-19-em-santarem.ghtml", "URL")</f>
        <v/>
      </c>
      <c r="K640">
        <f>HYPERLINK("https://raw.githubusercontent.com/marcosmapl/dataset_imigrantes/main/noticias_filtered/g1/venezuelanos/2021/03_abr/html/g1_53d306a2-230a-11ed-b24f-6dbe51e79fca_2498.html", "HTML")</f>
        <v/>
      </c>
      <c r="L640">
        <f>HYPERLINK("https://raw.githubusercontent.com/marcosmapl/dataset_imigrantes/main/noticias_filtered/g1/venezuelanos/2021/03_abr/txt/g1_53d306a2-230a-11ed-b24f-6dbe51e79fca_2498.txt", "TXT")</f>
        <v/>
      </c>
    </row>
    <row r="641">
      <c r="A641" s="1" t="n">
        <v>639</v>
      </c>
      <c r="B641" t="n">
        <v>2021</v>
      </c>
      <c r="C641" s="2" t="n">
        <v>44312.53612989583</v>
      </c>
      <c r="D641" t="inlineStr">
        <is>
          <t>G1</t>
        </is>
      </c>
      <c r="E641" t="inlineStr">
        <is>
          <t>VENEZUELANOS</t>
        </is>
      </c>
      <c r="F641" t="inlineStr">
        <is>
          <t>RORAIMA</t>
        </is>
      </c>
      <c r="G641" t="inlineStr">
        <is>
          <t>G1 RR — BOA VISTA</t>
        </is>
      </c>
      <c r="H641" t="inlineStr">
        <is>
          <t>MORADORES DE RUA AGRIDEM VENEZUELANO COM PAUS E PEDRAS EM BOA VISTA</t>
        </is>
      </c>
      <c r="I641" t="inlineStr">
        <is>
          <t>VÍTIMA, DE 28 ANOS, APRESENTAVA CORTES PROFUNDOS NA CABEÇA, ALÉM DE VÁRIOS FERIMENTOS PELO CORPO. SUSPEITOS, QUE TÊM ENTRE 21 A 29 ANOS, FORAM ENCONTRADOS. TODOS SÃO MORADORES DE RUA, INFORMOU A GUARDA CIVIL.</t>
        </is>
      </c>
      <c r="J641">
        <f>HYPERLINK("https://g1.globo.com/rr/roraima/noticia/2021/04/26/moradores-de-rua-agridem-abrigado-com-pauladas-e-pedradas-em-boa-vista.ghtml", "URL")</f>
        <v/>
      </c>
      <c r="K641">
        <f>HYPERLINK("https://raw.githubusercontent.com/marcosmapl/dataset_imigrantes/main/noticias_filtered/g1/venezuelanos/2021/03_abr/html/g1_56403c74-2329-11ed-b24f-6dbe51e79fca_4110.html", "HTML")</f>
        <v/>
      </c>
      <c r="L641">
        <f>HYPERLINK("https://raw.githubusercontent.com/marcosmapl/dataset_imigrantes/main/noticias_filtered/g1/venezuelanos/2021/03_abr/txt/g1_56403c74-2329-11ed-b24f-6dbe51e79fca_4110.txt", "TXT")</f>
        <v/>
      </c>
    </row>
    <row r="642">
      <c r="A642" s="1" t="n">
        <v>640</v>
      </c>
      <c r="B642" t="n">
        <v>2021</v>
      </c>
      <c r="C642" s="2" t="n">
        <v>44311.52671148149</v>
      </c>
      <c r="D642" t="inlineStr">
        <is>
          <t>G1</t>
        </is>
      </c>
      <c r="E642" t="inlineStr">
        <is>
          <t>VENEZUELANOS</t>
        </is>
      </c>
      <c r="F642" t="inlineStr">
        <is>
          <t>ACRE</t>
        </is>
      </c>
      <c r="G642" t="inlineStr">
        <is>
          <t>IRYÁ RODRIGUES, G1 AC — RIO BRANCO</t>
        </is>
      </c>
      <c r="H642" t="inlineStr">
        <is>
          <t>OPERAÇÃO ACOLHIDA INTERIORIZOU MAIS DE 50 VENEZUELANOS NO ACRE, DIZ GOVERNO FEDERAL</t>
        </is>
      </c>
      <c r="I642" t="inlineStr">
        <is>
          <t>AO TODO, 56 CIDADÃOS DA VENEZUELA QUE ESTAVAM EM RORAIMA E PASSARAM PELO PROCESSO DE INTERIORIZAÇÃO FORAM DISTRIBUÍDOS PELO GOVERNO BRASILEIRO EM TRÊS MUNICÍPIOS ACREANOS. IMIGRANTES ESTÃO EM RIO BRANCO, TARAUACÁ E CRUZEIRO DO SUL.</t>
        </is>
      </c>
      <c r="J642">
        <f>HYPERLINK("https://g1.globo.com/ac/acre/noticia/2021/04/25/operacao-acolhida-interiorizou-mais-de-50-venezuelanos-no-acre-diz-governo-federal.ghtml", "URL")</f>
        <v/>
      </c>
      <c r="K642">
        <f>HYPERLINK("https://raw.githubusercontent.com/marcosmapl/dataset_imigrantes/main/noticias_filtered/g1/venezuelanos/2021/03_abr/html/g1_bbd9e4a4-2315-11ed-b24f-6dbe51e79fca_3104.html", "HTML")</f>
        <v/>
      </c>
      <c r="L642">
        <f>HYPERLINK("https://raw.githubusercontent.com/marcosmapl/dataset_imigrantes/main/noticias_filtered/g1/venezuelanos/2021/03_abr/txt/g1_bbd9e4a4-2315-11ed-b24f-6dbe51e79fca_3104.txt", "TXT")</f>
        <v/>
      </c>
    </row>
    <row r="643">
      <c r="A643" s="1" t="n">
        <v>641</v>
      </c>
      <c r="B643" t="n">
        <v>2021</v>
      </c>
      <c r="C643" s="2" t="n">
        <v>44307.80716819444</v>
      </c>
      <c r="D643" t="inlineStr">
        <is>
          <t>G1</t>
        </is>
      </c>
      <c r="E643" t="inlineStr">
        <is>
          <t>HAITIANOS</t>
        </is>
      </c>
      <c r="F643" t="inlineStr">
        <is>
          <t>RIO DE JANEIRO</t>
        </is>
      </c>
      <c r="G643" t="inlineStr">
        <is>
          <t>MARCO ANTÔNIO MARTINS, G1 RIO</t>
        </is>
      </c>
      <c r="H643" t="inlineStr">
        <is>
          <t>POLÍCIA FEDERAL PRENDE HAITIANO COM PASSAPORTE FALSO NO AEROPORTO DO GALEÃO</t>
        </is>
      </c>
      <c r="I643" t="inlineStr">
        <is>
          <t>AGENTES SUSPEITARAM DO HOMEM QUE PAGOU US$ 700 PELO DOCUMENTO E QUE ENTROU NO BRASIL PELO MATO GROSSO DO SUL.</t>
        </is>
      </c>
      <c r="J643">
        <f>HYPERLINK("https://g1.globo.com/rj/rio-de-janeiro/noticia/2021/04/21/policia-federal-prende-haitiano-com-passaporte-falso-no-aeroporto-do-galeao.ghtml", "URL")</f>
        <v/>
      </c>
      <c r="K643">
        <f>HYPERLINK("https://raw.githubusercontent.com/marcosmapl/dataset_imigrantes/main/noticias_filtered/g1/haitianos/2021/03_abr/html/g1_d3b8c218-22fa-11ed-b24f-6dbe51e79fca_2244.html", "HTML")</f>
        <v/>
      </c>
      <c r="L643">
        <f>HYPERLINK("https://raw.githubusercontent.com/marcosmapl/dataset_imigrantes/main/noticias_filtered/g1/haitianos/2021/03_abr/txt/g1_d3b8c218-22fa-11ed-b24f-6dbe51e79fca_2244.txt", "TXT")</f>
        <v/>
      </c>
    </row>
    <row r="644">
      <c r="A644" s="1" t="n">
        <v>642</v>
      </c>
      <c r="B644" t="n">
        <v>2021</v>
      </c>
      <c r="C644" s="2" t="n">
        <v>44307.52504629629</v>
      </c>
      <c r="D644" t="inlineStr">
        <is>
          <t>A CRITICA</t>
        </is>
      </c>
      <c r="E644" t="inlineStr">
        <is>
          <t>VENEZUELANOS</t>
        </is>
      </c>
      <c r="F644" t="inlineStr">
        <is>
          <t>ESPORTES</t>
        </is>
      </c>
      <c r="G644" t="inlineStr">
        <is>
          <t>DANIEL PRESTES</t>
        </is>
      </c>
      <c r="H644" t="inlineStr">
        <is>
          <t>LECHEVA MIRA CLASSIFICAÇÃO CONTRA O SÃO RAIMUNDO NAS QUARTAS DE FINAIS DO BAREZÃO: ‘PRINCIPAL OBJETIVO’</t>
        </is>
      </c>
      <c r="I644" t="inlineStr">
        <is>
          <t>AMAZONAS ENFRENTA O TUFÃO DA COLINA NA NOITE DESTA QUARTA-FEIRA (21), NA COLINA, COM TRANSMISSÃO DA TV A CRÍTICA</t>
        </is>
      </c>
      <c r="J644">
        <f>HYPERLINK("https://www.acritica.com/esportes/lecheva-mira-classificac-o-contra-o-s-o-raimundo-nas-quartas-de-finais-do-barez-o-principal-objetivo-1.18080", "URL")</f>
        <v/>
      </c>
      <c r="K644">
        <f>HYPERLINK("https://raw.githubusercontent.com/marcosmapl/dataset_imigrantes/main/noticias_filtered/a_critica/venezuelanos/2021/03_abr/html/1.18080_137.html", "HTML")</f>
        <v/>
      </c>
      <c r="L644">
        <f>HYPERLINK("https://raw.githubusercontent.com/marcosmapl/dataset_imigrantes/main/noticias_filtered/a_critica/venezuelanos/2021/03_abr/txt/1.18080_137.txt", "TXT")</f>
        <v/>
      </c>
    </row>
    <row r="645">
      <c r="A645" s="1" t="n">
        <v>643</v>
      </c>
      <c r="B645" t="n">
        <v>2021</v>
      </c>
      <c r="C645" s="2" t="n">
        <v>44306.86691949074</v>
      </c>
      <c r="D645" t="inlineStr">
        <is>
          <t>G1</t>
        </is>
      </c>
      <c r="E645" t="inlineStr">
        <is>
          <t>VENEZUELANOS</t>
        </is>
      </c>
      <c r="F645" t="inlineStr">
        <is>
          <t>MUNDO</t>
        </is>
      </c>
      <c r="G645" t="inlineStr">
        <is>
          <t>G1</t>
        </is>
      </c>
      <c r="H645" t="inlineStr">
        <is>
          <t>OPERAÇÃO ACOLHIDA INTERIORIZOU MAIS DE 50 MIL VENEZUELANOS NO BRASIL, DIZ GOVERNO</t>
        </is>
      </c>
      <c r="I645" t="inlineStr">
        <is>
          <t>CIDADÃOS DA VENEZUELA QUE PASSARAM PELO PROCESSO DE INTERIORIZAÇÃO FORAM DISTRIBUÍDOS PELO GOVERNO BRASILEIRO EM MAIS DE 670 MUNICÍPIOS BRASILEIROS. NÚMERO CONSIDERA TANTO REFUGIADOS E SOLICITANTES DE REFÚGIO COMO VENEZUELANOS QUE ENTRARAM COM PEDIDO DE RESIDÊNCIA.</t>
        </is>
      </c>
      <c r="J645">
        <f>HYPERLINK("https://g1.globo.com/mundo/noticia/2021/04/20/operacao-acolhida-interiorizou-mais-de-50-mil-venezuelanos-no-brasil-diz-governo.ghtml", "URL")</f>
        <v/>
      </c>
      <c r="K645">
        <f>HYPERLINK("https://raw.githubusercontent.com/marcosmapl/dataset_imigrantes/main/noticias_filtered/g1/venezuelanos/2021/03_abr/html/g1_c25ec5ac-231e-11ed-b24f-6dbe51e79fca_3583.html", "HTML")</f>
        <v/>
      </c>
      <c r="L645">
        <f>HYPERLINK("https://raw.githubusercontent.com/marcosmapl/dataset_imigrantes/main/noticias_filtered/g1/venezuelanos/2021/03_abr/txt/g1_c25ec5ac-231e-11ed-b24f-6dbe51e79fca_3583.txt", "TXT")</f>
        <v/>
      </c>
    </row>
    <row r="646">
      <c r="A646" s="1" t="n">
        <v>644</v>
      </c>
      <c r="B646" t="n">
        <v>2021</v>
      </c>
      <c r="C646" s="2" t="n">
        <v>44306.61507159723</v>
      </c>
      <c r="D646" t="inlineStr">
        <is>
          <t>G1</t>
        </is>
      </c>
      <c r="E646" t="inlineStr">
        <is>
          <t>HAITIANOS</t>
        </is>
      </c>
      <c r="F646" t="inlineStr">
        <is>
          <t>MATO GROSSO</t>
        </is>
      </c>
      <c r="G646" t="inlineStr">
        <is>
          <t>CINTHYA ROCHA, TV CENTRO AMÉRICA</t>
        </is>
      </c>
      <c r="H646" t="inlineStr">
        <is>
          <t>RACISMO E XENOFOBIA CONTRA HAITIANOS EM ÔNIBUS EM CUIABÁ SÃO APURADOS PELA POLÍCIA; VEJA VÍDEO</t>
        </is>
      </c>
      <c r="I646" t="inlineStr">
        <is>
          <t>PASSAGEIRO XINGOU HAITIANOS QUE ESTAVAM NO ÔNIBUS E CITOU HITLER. DELEGADO DISSE QUE CRIME ATINGE TODA A COLETIVIDADE.</t>
        </is>
      </c>
      <c r="J646">
        <f>HYPERLINK("https://g1.globo.com/mt/mato-grosso/noticia/2021/04/20/video-de-racismo-e-xenofobia-contra-haitianos-em-onibus-em-cuiaba-e-apurado-pela-policia.ghtml", "URL")</f>
        <v/>
      </c>
      <c r="K646">
        <f>HYPERLINK("https://raw.githubusercontent.com/marcosmapl/dataset_imigrantes/main/noticias_filtered/g1/haitianos/2021/03_abr/html/g1_6fa00194-22f3-11ed-b24f-6dbe51e79fca_1841.html", "HTML")</f>
        <v/>
      </c>
      <c r="L646">
        <f>HYPERLINK("https://raw.githubusercontent.com/marcosmapl/dataset_imigrantes/main/noticias_filtered/g1/haitianos/2021/03_abr/txt/g1_6fa00194-22f3-11ed-b24f-6dbe51e79fca_1841.txt", "TXT")</f>
        <v/>
      </c>
    </row>
    <row r="647">
      <c r="A647" s="1" t="n">
        <v>645</v>
      </c>
      <c r="B647" t="n">
        <v>2021</v>
      </c>
      <c r="C647" s="2" t="n">
        <v>44306.5596875</v>
      </c>
      <c r="D647" t="inlineStr">
        <is>
          <t>A CRITICA</t>
        </is>
      </c>
      <c r="E647" t="inlineStr">
        <is>
          <t>VENEZUELANOS</t>
        </is>
      </c>
      <c r="F647" t="inlineStr"/>
      <c r="G647" t="inlineStr">
        <is>
          <t>AGÊNCIA BRASIL</t>
        </is>
      </c>
      <c r="H647" t="inlineStr">
        <is>
          <t>OPERAÇÃO ACOLHIDA CONTABILIZA 50 MIL REFUGIADOS VENEZUELANOS</t>
        </is>
      </c>
      <c r="I647" t="inlineStr">
        <is>
          <t>A AÇÃO É REALIZADA EM 675 MUNICÍPIOS BRASILEIROS</t>
        </is>
      </c>
      <c r="J647">
        <f>HYPERLINK("https://www.acritica.com/operac-o-acolhida-contabiliza-50-mil-refugiados-venezuelanos-1.19295", "URL")</f>
        <v/>
      </c>
      <c r="K647">
        <f>HYPERLINK("https://raw.githubusercontent.com/marcosmapl/dataset_imigrantes/main/noticias_filtered/a_critica/venezuelanos/2021/03_abr/html/1.19295_914.html", "HTML")</f>
        <v/>
      </c>
      <c r="L647">
        <f>HYPERLINK("https://raw.githubusercontent.com/marcosmapl/dataset_imigrantes/main/noticias_filtered/a_critica/venezuelanos/2021/03_abr/txt/1.19295_914.txt", "TXT")</f>
        <v/>
      </c>
    </row>
    <row r="648">
      <c r="A648" s="1" t="n">
        <v>646</v>
      </c>
      <c r="B648" t="n">
        <v>2021</v>
      </c>
      <c r="C648" s="2" t="n">
        <v>44305.7546412037</v>
      </c>
      <c r="D648" t="inlineStr">
        <is>
          <t>A CRITICA</t>
        </is>
      </c>
      <c r="E648" t="inlineStr">
        <is>
          <t>VENEZUELANOS</t>
        </is>
      </c>
      <c r="F648" t="inlineStr">
        <is>
          <t>OPINIAO</t>
        </is>
      </c>
      <c r="G648" t="inlineStr">
        <is>
          <t>DULCE RODRIGUEZ</t>
        </is>
      </c>
      <c r="H648" t="inlineStr">
        <is>
          <t>GOVERNO DE MADURO APLICA VACINA CONTRA A COVID-19 COM FILTRO POLÍTICO</t>
        </is>
      </c>
      <c r="I648" t="inlineStr">
        <is>
          <t>NO PLANO DE VACINAÇÃO DO REGÍME CHAVISTA, AS PRIORIDADE SÃO DEPUTADOS, FUNCIONÁRIOS DO GOVERNO, POLÍTICOS E APOIADORES. #VACINASEMDISCRIMINAÇÃO</t>
        </is>
      </c>
      <c r="J648">
        <f>HYPERLINK("https://www.acritica.com/opiniao/governo-de-maduro-aplica-vacina-contra-a-covid-19-com-filtro-politico-1.215621", "URL")</f>
        <v/>
      </c>
      <c r="K648">
        <f>HYPERLINK("https://raw.githubusercontent.com/marcosmapl/dataset_imigrantes/main/noticias_filtered/a_critica/venezuelanos/2021/03_abr/html/1.215621_920.html", "HTML")</f>
        <v/>
      </c>
      <c r="L648">
        <f>HYPERLINK("https://raw.githubusercontent.com/marcosmapl/dataset_imigrantes/main/noticias_filtered/a_critica/venezuelanos/2021/03_abr/txt/1.215621_920.txt", "TXT")</f>
        <v/>
      </c>
    </row>
    <row r="649">
      <c r="A649" s="1" t="n">
        <v>647</v>
      </c>
      <c r="B649" t="n">
        <v>2021</v>
      </c>
      <c r="C649" s="2" t="n">
        <v>44302.88952765046</v>
      </c>
      <c r="D649" t="inlineStr">
        <is>
          <t>G1</t>
        </is>
      </c>
      <c r="E649" t="inlineStr">
        <is>
          <t>VENEZUELANOS</t>
        </is>
      </c>
      <c r="F649" t="inlineStr">
        <is>
          <t>AMAPÁ</t>
        </is>
      </c>
      <c r="G649" t="inlineStr">
        <is>
          <t>G1 AP — MACAPÁ</t>
        </is>
      </c>
      <c r="H649" t="inlineStr">
        <is>
          <t>TRIPULANTES VENEZUELANOS DE BARCO APREENDIDO NA COSTA DO AP TESTAM NEGATIVO PARA COVID-19</t>
        </is>
      </c>
      <c r="I649" t="inlineStr">
        <is>
          <t>EMBARCAÇÃO ATRACOU NO MUNICÍPIO DE SANTANA NESTA SEXTA-FEIRA (16). GRUPO FOI ENCONTRADO PELA MARINHA DO BRASIL COM 600 KG DE PESCADO CAPTURADO ILEGALMENTE.</t>
        </is>
      </c>
      <c r="J649">
        <f>HYPERLINK("https://g1.globo.com/ap/amapa/noticia/2021/04/16/tripulantes-venezuelanos-de-barco-apreendido-na-costa-do-ap-testam-negativo-para-covid-19.ghtml", "URL")</f>
        <v/>
      </c>
      <c r="K649">
        <f>HYPERLINK("https://raw.githubusercontent.com/marcosmapl/dataset_imigrantes/main/noticias_filtered/g1/venezuelanos/2021/03_abr/html/g1_a0303cc4-232b-11ed-b24f-6dbe51e79fca_4259.html", "HTML")</f>
        <v/>
      </c>
      <c r="L649">
        <f>HYPERLINK("https://raw.githubusercontent.com/marcosmapl/dataset_imigrantes/main/noticias_filtered/g1/venezuelanos/2021/03_abr/txt/g1_a0303cc4-232b-11ed-b24f-6dbe51e79fca_4259.txt", "TXT")</f>
        <v/>
      </c>
    </row>
    <row r="650">
      <c r="A650" s="1" t="n">
        <v>648</v>
      </c>
      <c r="B650" t="n">
        <v>2021</v>
      </c>
      <c r="C650" s="2" t="n">
        <v>44302.47573045139</v>
      </c>
      <c r="D650" t="inlineStr">
        <is>
          <t>G1</t>
        </is>
      </c>
      <c r="E650" t="inlineStr">
        <is>
          <t>VENEZUELANOS</t>
        </is>
      </c>
      <c r="F650" t="inlineStr">
        <is>
          <t>POP &amp; ARTE</t>
        </is>
      </c>
      <c r="G650" t="inlineStr">
        <is>
          <t>FRANCE PRESSE</t>
        </is>
      </c>
      <c r="H650" t="inlineStr">
        <is>
          <t>VENEZUELANO GUSTAVO DUDAMEL É O NOVO DIRETOR MUSICAL DA ÓPERA DE PARIS</t>
        </is>
      </c>
      <c r="I650" t="inlineStr">
        <is>
          <t>ACLAMADO MAESTRO OCUPARÁ O CARGO A PARTIR DE AGOSTO E PERMANECERÁ À FRENTE DA ORQUESTRA FILARMÔNICA DE LOS ANGELES. DUDAMEL TAMBÉM SEGUIRÁ COLABORANDO COM A ORQUESTRA SIMÓN BOLÍVAR DA VENEZUELA.</t>
        </is>
      </c>
      <c r="J650">
        <f>HYPERLINK("https://g1.globo.com/pop-arte/noticia/2021/04/16/venezuelano-gustavo-dudamel-e-o-novo-diretor-musical-da-opera-de-paris.ghtml", "URL")</f>
        <v/>
      </c>
      <c r="K650">
        <f>HYPERLINK("https://raw.githubusercontent.com/marcosmapl/dataset_imigrantes/main/noticias_filtered/g1/venezuelanos/2021/03_abr/html/g1_cd8c00b8-231c-11ed-b24f-6dbe51e79fca_3465.html", "HTML")</f>
        <v/>
      </c>
      <c r="L650">
        <f>HYPERLINK("https://raw.githubusercontent.com/marcosmapl/dataset_imigrantes/main/noticias_filtered/g1/venezuelanos/2021/03_abr/txt/g1_cd8c00b8-231c-11ed-b24f-6dbe51e79fca_3465.txt", "TXT")</f>
        <v/>
      </c>
    </row>
    <row r="651">
      <c r="A651" s="1" t="n">
        <v>649</v>
      </c>
      <c r="B651" t="n">
        <v>2021</v>
      </c>
      <c r="C651" s="2" t="n">
        <v>44301.89868520833</v>
      </c>
      <c r="D651" t="inlineStr">
        <is>
          <t>G1</t>
        </is>
      </c>
      <c r="E651" t="inlineStr">
        <is>
          <t>VENEZUELANOS</t>
        </is>
      </c>
      <c r="F651" t="inlineStr">
        <is>
          <t>AMAPÁ</t>
        </is>
      </c>
      <c r="G651" t="inlineStr">
        <is>
          <t>JOHN PACHECO, G1 AP — MACAPÁ</t>
        </is>
      </c>
      <c r="H651" t="inlineStr">
        <is>
          <t>MARINHA APREENDE 2º BARCO ILEGAL COM VENEZUELANOS NA COSTA DO AMAPÁ EM MENOS DE 1 MÊS</t>
        </is>
      </c>
      <c r="I651" t="inlineStr">
        <is>
          <t>GRUPO COM 14 PESCADORES FOI ENCONTRADO COM 600 KG DE PESCADO CAPTURADO ILEGALMENTE. EMBARCAÇÃO DEVE ANCORAR NA CAPITANIA DOS PORTOS NA MANHÃ DE SEXTA-FEIRA.</t>
        </is>
      </c>
      <c r="J651">
        <f>HYPERLINK("https://g1.globo.com/ap/amapa/noticia/2021/04/15/marinha-apreende-2o-barco-com-venezuelanos-na-costa-do-amapa-em-menos-de-1-mes.ghtml", "URL")</f>
        <v/>
      </c>
      <c r="K651">
        <f>HYPERLINK("https://raw.githubusercontent.com/marcosmapl/dataset_imigrantes/main/noticias_filtered/g1/venezuelanos/2021/03_abr/html/g1_6df851e8-231b-11ed-b24f-6dbe51e79fca_3386.html", "HTML")</f>
        <v/>
      </c>
      <c r="L651">
        <f>HYPERLINK("https://raw.githubusercontent.com/marcosmapl/dataset_imigrantes/main/noticias_filtered/g1/venezuelanos/2021/03_abr/txt/g1_6df851e8-231b-11ed-b24f-6dbe51e79fca_3386.txt", "TXT")</f>
        <v/>
      </c>
    </row>
    <row r="652">
      <c r="A652" s="1" t="n">
        <v>650</v>
      </c>
      <c r="B652" t="n">
        <v>2021</v>
      </c>
      <c r="C652" s="2" t="n">
        <v>44301.58807925926</v>
      </c>
      <c r="D652" t="inlineStr">
        <is>
          <t>G1</t>
        </is>
      </c>
      <c r="E652" t="inlineStr">
        <is>
          <t>VENEZUELANOS</t>
        </is>
      </c>
      <c r="F652" t="inlineStr">
        <is>
          <t>TOCANTINS</t>
        </is>
      </c>
      <c r="G652" t="inlineStr">
        <is>
          <t>TV ANHANGUERA</t>
        </is>
      </c>
      <c r="H652" t="inlineStr">
        <is>
          <t>JUSTIÇA FEDERAL DETERMINA QUE PODER PÚBLICO DÊ ASSISTÊNCIA PARA REFUGIADOS VENEZUELANOS EM PALMAS</t>
        </is>
      </c>
      <c r="I652" t="inlineStr">
        <is>
          <t>ATUALMENTE SÃO SEIS FAMÍLIAS DE INDÍGENAS VIVENDO EM UMA CASA CEDIDA POR IGREJA EM PALMAS. DECISÃO DETERMINA OBRIGAÇÕES PARA UNIÃO, ESTADO E MUNICÍPIO.</t>
        </is>
      </c>
      <c r="J652">
        <f>HYPERLINK("https://g1.globo.com/to/tocantins/noticia/2021/04/15/justica-federal-determina-que-poder-publico-de-assistencia-para-refugiados-venezuelanos-em-palmas.ghtml", "URL")</f>
        <v/>
      </c>
      <c r="K652">
        <f>HYPERLINK("https://raw.githubusercontent.com/marcosmapl/dataset_imigrantes/main/noticias_filtered/g1/venezuelanos/2021/03_abr/html/g1_84e44998-2316-11ed-b24f-6dbe51e79fca_3152.html", "HTML")</f>
        <v/>
      </c>
      <c r="L652">
        <f>HYPERLINK("https://raw.githubusercontent.com/marcosmapl/dataset_imigrantes/main/noticias_filtered/g1/venezuelanos/2021/03_abr/txt/g1_84e44998-2316-11ed-b24f-6dbe51e79fca_3152.txt", "TXT")</f>
        <v/>
      </c>
    </row>
    <row r="653">
      <c r="A653" s="1" t="n">
        <v>651</v>
      </c>
      <c r="B653" t="n">
        <v>2021</v>
      </c>
      <c r="C653" s="2" t="n">
        <v>44301.53324814815</v>
      </c>
      <c r="D653" t="inlineStr">
        <is>
          <t>G1</t>
        </is>
      </c>
      <c r="E653" t="inlineStr">
        <is>
          <t>VENEZUELANOS</t>
        </is>
      </c>
      <c r="F653" t="inlineStr">
        <is>
          <t>AMAPÁ</t>
        </is>
      </c>
      <c r="G653" t="inlineStr">
        <is>
          <t>NÚBIA PACHECO, G1 AP — MACAPÁ</t>
        </is>
      </c>
      <c r="H653" t="inlineStr">
        <is>
          <t>VENEZUELANOS DETIDOS HÁ 25 DIAS POR PESCA ILEGAL NO AMAPÁ SÃO TESTADOS CONTRA COVID-19</t>
        </is>
      </c>
      <c r="I653" t="inlineStr">
        <is>
          <t>TRIPULANTES ENCONTRADOS EM EMBARCAÇÃO NA COSTA DO ESTADO AGUARDAM PROCEDIMENTO DE EXTRADIÇÃO, QUE É DISCUTIDO ENTRE OS GOVERNOS DOS DOIS PAÍSES.</t>
        </is>
      </c>
      <c r="J653">
        <f>HYPERLINK("https://g1.globo.com/ap/amapa/noticia/2021/04/15/venezuelanos-detidos-ha-25-dias-por-pesca-ilegal-no-amapa-sao-testados-contra-covid-19.ghtml", "URL")</f>
        <v/>
      </c>
      <c r="K653">
        <f>HYPERLINK("https://raw.githubusercontent.com/marcosmapl/dataset_imigrantes/main/noticias_filtered/g1/venezuelanos/2021/03_abr/html/g1_b8e2b7d0-231a-11ed-b24f-6dbe51e79fca_3349.html", "HTML")</f>
        <v/>
      </c>
      <c r="L653">
        <f>HYPERLINK("https://raw.githubusercontent.com/marcosmapl/dataset_imigrantes/main/noticias_filtered/g1/venezuelanos/2021/03_abr/txt/g1_b8e2b7d0-231a-11ed-b24f-6dbe51e79fca_3349.txt", "TXT")</f>
        <v/>
      </c>
    </row>
    <row r="654">
      <c r="A654" s="1" t="n">
        <v>652</v>
      </c>
      <c r="B654" t="n">
        <v>2021</v>
      </c>
      <c r="C654" s="2" t="n">
        <v>44300.898214375</v>
      </c>
      <c r="D654" t="inlineStr">
        <is>
          <t>G1</t>
        </is>
      </c>
      <c r="E654" t="inlineStr">
        <is>
          <t>VENEZUELANOS</t>
        </is>
      </c>
      <c r="F654" t="inlineStr">
        <is>
          <t>AMAZONAS</t>
        </is>
      </c>
      <c r="G654" t="inlineStr">
        <is>
          <t>G1 AM</t>
        </is>
      </c>
      <c r="H654" t="inlineStr">
        <is>
          <t>POLÍCIA FEDERAL PRENDE MULHER COM 1,2 KG DE MACONHA NO AEROPORTO DE MANAUS</t>
        </is>
      </c>
      <c r="I654" t="inlineStr">
        <is>
          <t>MULHER VENEZUELANA TENTAVA EMBARCAR PARA BELÉM (PA) COM DOCUMENTO FALSO.</t>
        </is>
      </c>
      <c r="J654">
        <f>HYPERLINK("https://g1.globo.com/am/amazonas/noticia/2021/04/14/policia-federal-prende-mulher-com-12-kg-de-maconha-no-aeroporto-de-manaus.ghtml", "URL")</f>
        <v/>
      </c>
      <c r="K654">
        <f>HYPERLINK("https://raw.githubusercontent.com/marcosmapl/dataset_imigrantes/main/noticias_filtered/g1/venezuelanos/2021/03_abr/html/g1_069e6870-2307-11ed-b24f-6dbe51e79fca_2292.html", "HTML")</f>
        <v/>
      </c>
      <c r="L654">
        <f>HYPERLINK("https://raw.githubusercontent.com/marcosmapl/dataset_imigrantes/main/noticias_filtered/g1/venezuelanos/2021/03_abr/txt/g1_069e6870-2307-11ed-b24f-6dbe51e79fca_2292.txt", "TXT")</f>
        <v/>
      </c>
    </row>
    <row r="655">
      <c r="A655" s="1" t="n">
        <v>653</v>
      </c>
      <c r="B655" t="n">
        <v>2021</v>
      </c>
      <c r="C655" s="2" t="n">
        <v>44298.85058060185</v>
      </c>
      <c r="D655" t="inlineStr">
        <is>
          <t>G1</t>
        </is>
      </c>
      <c r="E655" t="inlineStr">
        <is>
          <t>HAITIANOS</t>
        </is>
      </c>
      <c r="F655" t="inlineStr">
        <is>
          <t>AMAZONAS</t>
        </is>
      </c>
      <c r="G655" t="inlineStr">
        <is>
          <t>ELIANA NASCIMENTO, G1 AM</t>
        </is>
      </c>
      <c r="H655" t="inlineStr">
        <is>
          <t>HAITIANA GRÁVIDA MORRE DURANTE VOO E CASO É INVESTIGADO NO AM</t>
        </is>
      </c>
      <c r="I655" t="inlineStr">
        <is>
          <t>CORPO DA VÍTIMA AINDA ESTÁ NO INSTITUTO MÉDICO LEGAL, DEZ DIAS APÓS ÓBITO.</t>
        </is>
      </c>
      <c r="J655">
        <f>HYPERLINK("https://g1.globo.com/am/amazonas/noticia/2021/04/12/haitiana-gravida-morre-durante-voo-e-caso-e-investigado-no-am.ghtml", "URL")</f>
        <v/>
      </c>
      <c r="K655">
        <f>HYPERLINK("https://raw.githubusercontent.com/marcosmapl/dataset_imigrantes/main/noticias_filtered/g1/haitianos/2021/03_abr/html/g1_c1fc6f3a-2317-11ed-b24f-6dbe51e79fca_3227.html", "HTML")</f>
        <v/>
      </c>
      <c r="L655">
        <f>HYPERLINK("https://raw.githubusercontent.com/marcosmapl/dataset_imigrantes/main/noticias_filtered/g1/haitianos/2021/03_abr/txt/g1_c1fc6f3a-2317-11ed-b24f-6dbe51e79fca_3227.txt", "TXT")</f>
        <v/>
      </c>
    </row>
    <row r="656">
      <c r="A656" s="1" t="n">
        <v>654</v>
      </c>
      <c r="B656" t="n">
        <v>2021</v>
      </c>
      <c r="C656" s="2" t="n">
        <v>44298.74552892361</v>
      </c>
      <c r="D656" t="inlineStr">
        <is>
          <t>G1</t>
        </is>
      </c>
      <c r="E656" t="inlineStr">
        <is>
          <t>VENEZUELANOS</t>
        </is>
      </c>
      <c r="F656" t="inlineStr">
        <is>
          <t>BAHIA</t>
        </is>
      </c>
      <c r="G656" t="inlineStr">
        <is>
          <t>TV SANTA CRUZ</t>
        </is>
      </c>
      <c r="H656" t="inlineStr">
        <is>
          <t>GRUPO DE VENEZUELANOS CHEGA AO SUL DA BAHIA APÓS QUATRO MESES EM BUSCA DE REFÚGIO</t>
        </is>
      </c>
      <c r="I656" t="inlineStr">
        <is>
          <t>ENTRE AS FAMÍLIAS QUE CHEGARAM À CIDADE, ESTÃO 23 CRIANÇAS. TODOS FORAM TESTADOS PARA A COVID-19 E ATENDIDOS NO CENTRO POP DE ITABUNA, ONDE PUDERAM TOMAR BANHO E FAZER AS REFEIÇÕES. PREFEITURA DISSE QUE ACIONOU ÓRGÃOS COMPETENTES PARA DIRECIONAR OS VENEZUELANOS.</t>
        </is>
      </c>
      <c r="J656">
        <f>HYPERLINK("https://g1.globo.com/ba/bahia/noticia/2021/04/12/grupo-de-venezuelanos-chega-ao-sul-da-bahia-apos-quatro-meses-em-busca-de-refugio.ghtml", "URL")</f>
        <v/>
      </c>
      <c r="K656">
        <f>HYPERLINK("https://raw.githubusercontent.com/marcosmapl/dataset_imigrantes/main/noticias_filtered/g1/venezuelanos/2021/03_abr/html/g1_8f45f440-2316-11ed-b24f-6dbe51e79fca_3155.html", "HTML")</f>
        <v/>
      </c>
      <c r="L656">
        <f>HYPERLINK("https://raw.githubusercontent.com/marcosmapl/dataset_imigrantes/main/noticias_filtered/g1/venezuelanos/2021/03_abr/txt/g1_8f45f440-2316-11ed-b24f-6dbe51e79fca_3155.txt", "TXT")</f>
        <v/>
      </c>
    </row>
    <row r="657">
      <c r="A657" s="1" t="n">
        <v>655</v>
      </c>
      <c r="B657" t="n">
        <v>2021</v>
      </c>
      <c r="C657" s="2" t="n">
        <v>44298.72083333333</v>
      </c>
      <c r="D657" t="inlineStr">
        <is>
          <t>PORTAL AMAZONIA</t>
        </is>
      </c>
      <c r="E657" t="inlineStr">
        <is>
          <t>VENEZUELANOS</t>
        </is>
      </c>
      <c r="F657" t="inlineStr">
        <is>
          <t>AMAZÔNIA DE A À Z,I</t>
        </is>
      </c>
      <c r="G657" t="inlineStr">
        <is>
          <t>PORTAL AMAZÔNIA, COM INFORMAÇÃO DO THE ROOTS VR</t>
        </is>
      </c>
      <c r="H657" t="inlineStr">
        <is>
          <t>INSTRUMENTOS MUSICAIS DA AMAZÔNIA</t>
        </is>
      </c>
      <c r="I657" t="inlineStr">
        <is>
          <t>TODA A MUSICALIDADE DA REGIÃO PODE SER CONFERIDA ATRAVÉS DESTES INSTRUMENTOS</t>
        </is>
      </c>
      <c r="J657">
        <f>HYPERLINK("https://portalamazonia.com/amazonia-az/instrumentos-musicais-da-amazonia", "URL")</f>
        <v/>
      </c>
      <c r="K657">
        <f>HYPERLINK("https://raw.githubusercontent.com/marcosmapl/dataset_imigrantes/main/noticias_filtered/portal_amazonia/venezuelanos/2021/03_abr/html/32245.77478_1410.html", "HTML")</f>
        <v/>
      </c>
      <c r="L657">
        <f>HYPERLINK("https://raw.githubusercontent.com/marcosmapl/dataset_imigrantes/main/noticias_filtered/portal_amazonia/venezuelanos/2021/03_abr/txt/32245.77478_1410.txt", "TXT")</f>
        <v/>
      </c>
    </row>
    <row r="658">
      <c r="A658" s="1" t="n">
        <v>656</v>
      </c>
      <c r="B658" t="n">
        <v>2021</v>
      </c>
      <c r="C658" s="2" t="n">
        <v>44298.67453599537</v>
      </c>
      <c r="D658" t="inlineStr">
        <is>
          <t>G1</t>
        </is>
      </c>
      <c r="E658" t="inlineStr">
        <is>
          <t>AMBOS</t>
        </is>
      </c>
      <c r="F658" t="inlineStr">
        <is>
          <t>ACRE</t>
        </is>
      </c>
      <c r="G658" t="inlineStr">
        <is>
          <t>IRYÁ RODRIGUES, G1 AC — RIO BRANCO</t>
        </is>
      </c>
      <c r="H658" t="inlineStr">
        <is>
          <t>CERCA DE 50 IMIGRANTES VOLTAM A OCUPAR PONTE QUE LIGA ACRE AO PERU EM NOVO PROTESTO PARA TENTAR DEIXAR O BRASIL</t>
        </is>
      </c>
      <c r="I658" t="inlineStr">
        <is>
          <t>GRUPO SE CONCENTROU NA PONTE DA INTEGRAÇÃO NESTA SEGUNDA-FEIRA (12). SECRETARIA DIZ QUE MAIORIA DOS IMIGRANTES É DE NACIONALIDADE CUBANA, ALÉM DE AFRICANOS, VENEZUELANOS E HAITIANOS. NO INÍCIO DE MARÇO, APÓS DETERMINAÇÃO DA JUSTIÇA, GRUPO TEVE QUE CESSAR BLOQUEIO DA PONTE.</t>
        </is>
      </c>
      <c r="J658">
        <f>HYPERLINK("https://g1.globo.com/ac/acre/noticia/2021/04/12/cerca-de-50-imigrantes-voltam-a-ocupar-ponte-que-liga-acre-ao-peru-em-novo-protesto-para-tentar-deixar-o-brasil.ghtml", "URL")</f>
        <v/>
      </c>
      <c r="K658">
        <f>HYPERLINK("https://raw.githubusercontent.com/marcosmapl/dataset_imigrantes/main/noticias_filtered/g1/ambos/2021/03_abr/html/g1_76c17290-22f4-11ed-b24f-6dbe51e79fca_1891.html", "HTML")</f>
        <v/>
      </c>
      <c r="L658">
        <f>HYPERLINK("https://raw.githubusercontent.com/marcosmapl/dataset_imigrantes/main/noticias_filtered/g1/ambos/2021/03_abr/txt/g1_76c17290-22f4-11ed-b24f-6dbe51e79fca_1891.txt", "TXT")</f>
        <v/>
      </c>
    </row>
    <row r="659">
      <c r="A659" s="1" t="n">
        <v>657</v>
      </c>
      <c r="B659" t="n">
        <v>2021</v>
      </c>
      <c r="C659" s="2" t="n">
        <v>44297.92736953704</v>
      </c>
      <c r="D659" t="inlineStr">
        <is>
          <t>G1</t>
        </is>
      </c>
      <c r="E659" t="inlineStr">
        <is>
          <t>VENEZUELANOS</t>
        </is>
      </c>
      <c r="F659" t="inlineStr">
        <is>
          <t>RORAIMA</t>
        </is>
      </c>
      <c r="G659" t="inlineStr">
        <is>
          <t>G1 RR — BOA VISTA</t>
        </is>
      </c>
      <c r="H659" t="inlineStr">
        <is>
          <t>VENEZUELANO VOLUNTÁRIO DA OPERAÇÃO ACOLHIDA É ESFAQUEADO EM BOA VISTA</t>
        </is>
      </c>
      <c r="I659" t="inlineStr">
        <is>
          <t>VÍTIMA FOI LEVADA O HOSPITAL GERAL DE RORAIMA, ONDE ESTÁ ESTÁVEL.</t>
        </is>
      </c>
      <c r="J659">
        <f>HYPERLINK("https://g1.globo.com/rr/roraima/noticia/2021/04/11/venezuelano-voluntario-da-operacao-acolhida-e-esfaqueado-em-boa-vista.ghtml", "URL")</f>
        <v/>
      </c>
      <c r="K659">
        <f>HYPERLINK("https://raw.githubusercontent.com/marcosmapl/dataset_imigrantes/main/noticias_filtered/g1/venezuelanos/2021/03_abr/html/g1_f6e4f4f2-231b-11ed-b24f-6dbe51e79fca_3419.html", "HTML")</f>
        <v/>
      </c>
      <c r="L659">
        <f>HYPERLINK("https://raw.githubusercontent.com/marcosmapl/dataset_imigrantes/main/noticias_filtered/g1/venezuelanos/2021/03_abr/txt/g1_f6e4f4f2-231b-11ed-b24f-6dbe51e79fca_3419.txt", "TXT")</f>
        <v/>
      </c>
    </row>
    <row r="660">
      <c r="A660" s="1" t="n">
        <v>658</v>
      </c>
      <c r="B660" t="n">
        <v>2021</v>
      </c>
      <c r="C660" s="2" t="n">
        <v>44295.89985759259</v>
      </c>
      <c r="D660" t="inlineStr">
        <is>
          <t>G1</t>
        </is>
      </c>
      <c r="E660" t="inlineStr">
        <is>
          <t>VENEZUELANOS</t>
        </is>
      </c>
      <c r="F660" t="inlineStr">
        <is>
          <t>CEARÁ</t>
        </is>
      </c>
      <c r="G660" t="inlineStr">
        <is>
          <t>SAMUEL PINUSA, G1 CE</t>
        </is>
      </c>
      <c r="H660" t="inlineStr">
        <is>
          <t>GRUPO DE VENEZUELANOS REFUGIADOS NO CEARÁ SE ABRIGA EM ITAPIPOCA, APÓS PASSAR POR IGUATU</t>
        </is>
      </c>
      <c r="I660" t="inlineStr">
        <is>
          <t>ELES CHEGARAM A ITAPIPOCA NA NOITE DESTA QUINTA-FEIRA (8) E SE ALOJARAM NA RODOVIÁRIA DO MUNICÍPIO. A PREFEITURA ABRIGOU O GRUPO COMPOSTO POR 39 PESSOAS EM UMA ESCOLA.</t>
        </is>
      </c>
      <c r="J660">
        <f>HYPERLINK("https://g1.globo.com/ce/ceara/noticia/2021/04/09/grupo-de-venezuelanos-refugiados-no-ceara-se-abriga-em-itapipoca-apos-passar-por-iguatu.ghtml", "URL")</f>
        <v/>
      </c>
      <c r="K660">
        <f>HYPERLINK("https://raw.githubusercontent.com/marcosmapl/dataset_imigrantes/main/noticias_filtered/g1/venezuelanos/2021/03_abr/html/g1_d77f7d92-2327-11ed-b24f-6dbe51e79fca_4051.html", "HTML")</f>
        <v/>
      </c>
      <c r="L660">
        <f>HYPERLINK("https://raw.githubusercontent.com/marcosmapl/dataset_imigrantes/main/noticias_filtered/g1/venezuelanos/2021/03_abr/txt/g1_d77f7d92-2327-11ed-b24f-6dbe51e79fca_4051.txt", "TXT")</f>
        <v/>
      </c>
    </row>
    <row r="661">
      <c r="A661" s="1" t="n">
        <v>659</v>
      </c>
      <c r="B661" t="n">
        <v>2021</v>
      </c>
      <c r="C661" s="2" t="n">
        <v>44295.59436556713</v>
      </c>
      <c r="D661" t="inlineStr">
        <is>
          <t>G1</t>
        </is>
      </c>
      <c r="E661" t="inlineStr">
        <is>
          <t>HAITIANOS</t>
        </is>
      </c>
      <c r="F661" t="inlineStr">
        <is>
          <t>SANTOS E REGIÃO</t>
        </is>
      </c>
      <c r="G661" t="inlineStr">
        <is>
          <t>RAFAEL PEIXOTO, G1 SANTOS</t>
        </is>
      </c>
      <c r="H661" t="inlineStr">
        <is>
          <t>REFUGIADO HAITIANO É ACHADO MORTO DENTRO DE UM TANQUE DE PRODUTOS QUÍMICOS EM CUBATÃO</t>
        </is>
      </c>
      <c r="I661" t="inlineStr">
        <is>
          <t>YOUVENS ESTINVIL REALIZAVA A LIMPEZA DOS TANQUES DE PRODUTOS QUÍMICOS. CAUSA DA MORTE SERÁ INVESTIGADA PELA POLÍCIA.</t>
        </is>
      </c>
      <c r="J661">
        <f>HYPERLINK("https://g1.globo.com/sp/santos-regiao/noticia/2021/04/09/refugiado-haitiano-e-achado-morto-dentro-de-um-tanque-de-produtos-quimicos-em-cubatao-sp.ghtml", "URL")</f>
        <v/>
      </c>
      <c r="K661">
        <f>HYPERLINK("https://raw.githubusercontent.com/marcosmapl/dataset_imigrantes/main/noticias_filtered/g1/haitianos/2021/03_abr/html/g1_bc5fe660-22f9-11ed-b24f-6dbe51e79fca_2182.html", "HTML")</f>
        <v/>
      </c>
      <c r="L661">
        <f>HYPERLINK("https://raw.githubusercontent.com/marcosmapl/dataset_imigrantes/main/noticias_filtered/g1/haitianos/2021/03_abr/txt/g1_bc5fe660-22f9-11ed-b24f-6dbe51e79fca_2182.txt", "TXT")</f>
        <v/>
      </c>
    </row>
    <row r="662">
      <c r="A662" s="1" t="n">
        <v>660</v>
      </c>
      <c r="B662" t="n">
        <v>2021</v>
      </c>
      <c r="C662" s="2" t="n">
        <v>44295.02746465278</v>
      </c>
      <c r="D662" t="inlineStr">
        <is>
          <t>G1</t>
        </is>
      </c>
      <c r="E662" t="inlineStr">
        <is>
          <t>VENEZUELANOS</t>
        </is>
      </c>
      <c r="F662" t="inlineStr">
        <is>
          <t>PROFISSÃO REPÓRTER</t>
        </is>
      </c>
      <c r="G662" t="inlineStr">
        <is>
          <t>PROFISSÃO REPÓRTER</t>
        </is>
      </c>
      <c r="H662" t="inlineStr">
        <is>
          <t>DORMINDO NA RUA EM RORAIMA, VENEZUELANA SE EMOCIONA: 'NÃO SEI ONDE ESTÁ MINHA FAMÍLIA'</t>
        </is>
      </c>
      <c r="I662" t="inlineStr">
        <is>
          <t>O 'PROFISSÃO REPÓRTER' REGISTROU UM GRUPO DE INDÍGENAS DA VENEZUELA TENTANDO SE PROTEGER DA CHUVA E DO FRIO EM UMA MARQUISE, EM PACARAIMA. SEM DOCUMENTAÇÃO, ELES NÃO CONSEGUIRAM VAGA EM ABRIGO DO EXÉRCITO.</t>
        </is>
      </c>
      <c r="J662">
        <f>HYPERLINK("https://g1.globo.com/profissao-reporter/noticia/2021/04/08/dormindo-na-rua-em-roraima-venezuelana-se-emociona-nao-sei-onde-esta-minha-familia.ghtml", "URL")</f>
        <v/>
      </c>
      <c r="K662">
        <f>HYPERLINK("https://raw.githubusercontent.com/marcosmapl/dataset_imigrantes/main/noticias_filtered/g1/venezuelanos/2021/03_abr/html/g1_6b064fbe-2328-11ed-b24f-6dbe51e79fca_4077.html", "HTML")</f>
        <v/>
      </c>
      <c r="L662">
        <f>HYPERLINK("https://raw.githubusercontent.com/marcosmapl/dataset_imigrantes/main/noticias_filtered/g1/venezuelanos/2021/03_abr/txt/g1_6b064fbe-2328-11ed-b24f-6dbe51e79fca_4077.txt", "TXT")</f>
        <v/>
      </c>
    </row>
    <row r="663">
      <c r="A663" s="1" t="n">
        <v>661</v>
      </c>
      <c r="B663" t="n">
        <v>2021</v>
      </c>
      <c r="C663" s="2" t="n">
        <v>44294.62222222222</v>
      </c>
      <c r="D663" t="inlineStr">
        <is>
          <t>A CRITICA</t>
        </is>
      </c>
      <c r="E663" t="inlineStr">
        <is>
          <t>HAITIANOS</t>
        </is>
      </c>
      <c r="F663" t="inlineStr">
        <is>
          <t>MANAUS</t>
        </is>
      </c>
      <c r="G663" t="inlineStr">
        <is>
          <t>KAROL ROCHA</t>
        </is>
      </c>
      <c r="H663" t="inlineStr">
        <is>
          <t>HAITIANA GRÁVIDA MORRE DURANTE VOO EM MANAUS E FAMÍLIA ACUSA GOL DE OMITIR INFORMAÇÕES</t>
        </is>
      </c>
      <c r="I663" t="inlineStr">
        <is>
          <t>O CORPO DE ELUNISE CLERVIL, 27, ESTÁ NO IML DE MANAUS HÁ SEIS DIAS, APÓS MAL SÚBITO DURANTE VOO QUE TEVE QUE POUSAR EM MANAUS. COMPANHIA AÉREA ALEGA QUE ESTÁ PRESTANDO ASSISTÊNCIA AOS FAMILIARES</t>
        </is>
      </c>
      <c r="J663">
        <f>HYPERLINK("https://www.acritica.com/manaus/haitiana-gravida-morre-durante-voo-em-manaus-e-familia-acusa-gol-de-omitir-informac-es-1.19783", "URL")</f>
        <v/>
      </c>
      <c r="K663">
        <f>HYPERLINK("https://raw.githubusercontent.com/marcosmapl/dataset_imigrantes/main/noticias_filtered/a_critica/haitianos/2021/03_abr/html/1.19783_1008.html", "HTML")</f>
        <v/>
      </c>
      <c r="L663">
        <f>HYPERLINK("https://raw.githubusercontent.com/marcosmapl/dataset_imigrantes/main/noticias_filtered/a_critica/haitianos/2021/03_abr/txt/1.19783_1008.txt", "TXT")</f>
        <v/>
      </c>
    </row>
    <row r="664">
      <c r="A664" s="1" t="n">
        <v>662</v>
      </c>
      <c r="B664" t="n">
        <v>2021</v>
      </c>
      <c r="C664" s="2" t="n">
        <v>44293.90720351852</v>
      </c>
      <c r="D664" t="inlineStr">
        <is>
          <t>G1</t>
        </is>
      </c>
      <c r="E664" t="inlineStr">
        <is>
          <t>VENEZUELANOS</t>
        </is>
      </c>
      <c r="F664" t="inlineStr">
        <is>
          <t>PROFISSÃO REPÓRTER</t>
        </is>
      </c>
      <c r="G664" t="inlineStr">
        <is>
          <t>PROFISSÃO REPÓRTER</t>
        </is>
      </c>
      <c r="H664" t="inlineStr">
        <is>
          <t>VÍDEO: FLAGRANTE MOSTRA GRUPO DE VENEZUELANOS APREENDIDO APÓS ATRAVESSAR FRONTEIRA</t>
        </is>
      </c>
      <c r="I664" t="inlineStr">
        <is>
          <t>MULHERES E CRIANÇAS ERAM MAIORIA NO GRUPO QUE CAMINHAVA HÁ 18 DIAS E QUE FOI DETIDO POR PMS E HOMENS DO EXÉRCITO EM PACARAIMA, RORAIMA. 'NÃO TEMOS NADA', DESABAFOU UM DOS VENEZUELANOS.</t>
        </is>
      </c>
      <c r="J664">
        <f>HYPERLINK("https://g1.globo.com/profissao-reporter/noticia/2021/04/07/video-flagrante-mostra-grupo-de-venezuelanos-apreendidos-apos-atravessar-fronteira.ghtml", "URL")</f>
        <v/>
      </c>
      <c r="K664">
        <f>HYPERLINK("https://raw.githubusercontent.com/marcosmapl/dataset_imigrantes/main/noticias_filtered/g1/venezuelanos/2021/03_abr/html/g1_8ad31fb4-230c-11ed-b24f-6dbe51e79fca_2631.html", "HTML")</f>
        <v/>
      </c>
      <c r="L664">
        <f>HYPERLINK("https://raw.githubusercontent.com/marcosmapl/dataset_imigrantes/main/noticias_filtered/g1/venezuelanos/2021/03_abr/txt/g1_8ad31fb4-230c-11ed-b24f-6dbe51e79fca_2631.txt", "TXT")</f>
        <v/>
      </c>
    </row>
    <row r="665">
      <c r="A665" s="1" t="n">
        <v>663</v>
      </c>
      <c r="B665" t="n">
        <v>2021</v>
      </c>
      <c r="C665" s="2" t="n">
        <v>44293.86670034722</v>
      </c>
      <c r="D665" t="inlineStr">
        <is>
          <t>G1</t>
        </is>
      </c>
      <c r="E665" t="inlineStr">
        <is>
          <t>VENEZUELANOS</t>
        </is>
      </c>
      <c r="F665" t="inlineStr">
        <is>
          <t>RORAIMA</t>
        </is>
      </c>
      <c r="G665" t="inlineStr">
        <is>
          <t>POLYANA GIRARDI, G1 RR — BOA VISTA</t>
        </is>
      </c>
      <c r="H665" t="inlineStr">
        <is>
          <t>GUARDA MUNICIPAL DERRUBA BARRACOS DE FAMÍLIAS VENEZUELANAS NA BEIRA DO RIO BRANCO EM BOA VISTA</t>
        </is>
      </c>
      <c r="I665" t="inlineStr">
        <is>
          <t>DE ACORDO COM O MORADOR DE UM DOS BARRACOS, JOSUÉ ESPINOZA, DE 19 ANOS,  TRÊS FAMÍLIAS COM CERCA DE 21 PESSOAS, ENTRE ELAS CRIANÇAS, MORAM NO LOCAL HÁ DOIS ANOS.</t>
        </is>
      </c>
      <c r="J665">
        <f>HYPERLINK("https://g1.globo.com/rr/roraima/noticia/2021/04/07/guarda-municipal-derruba-barracos-de-familias-venezuelanas-na-beira-do-rio-branco-em-boa-vista.ghtml", "URL")</f>
        <v/>
      </c>
      <c r="K665">
        <f>HYPERLINK("https://raw.githubusercontent.com/marcosmapl/dataset_imigrantes/main/noticias_filtered/g1/venezuelanos/2021/03_abr/html/g1_10f16d84-2318-11ed-b24f-6dbe51e79fca_3242.html", "HTML")</f>
        <v/>
      </c>
      <c r="L665">
        <f>HYPERLINK("https://raw.githubusercontent.com/marcosmapl/dataset_imigrantes/main/noticias_filtered/g1/venezuelanos/2021/03_abr/txt/g1_10f16d84-2318-11ed-b24f-6dbe51e79fca_3242.txt", "TXT")</f>
        <v/>
      </c>
    </row>
    <row r="666">
      <c r="A666" s="1" t="n">
        <v>664</v>
      </c>
      <c r="B666" t="n">
        <v>2021</v>
      </c>
      <c r="C666" s="2" t="n">
        <v>44293.6503809375</v>
      </c>
      <c r="D666" t="inlineStr">
        <is>
          <t>G1</t>
        </is>
      </c>
      <c r="E666" t="inlineStr">
        <is>
          <t>VENEZUELANOS</t>
        </is>
      </c>
      <c r="F666" t="inlineStr">
        <is>
          <t>PROFISSÃO REPÓRTER</t>
        </is>
      </c>
      <c r="G666" t="inlineStr">
        <is>
          <t>PROFISSÃO REPÓRTER</t>
        </is>
      </c>
      <c r="H666" t="inlineStr">
        <is>
          <t>VENEZUELANOS USAM TRILHAS CLANDESTINAS PARA CHEGAR AO BRASIL: 'BUSCANDO FUTURO PARA O MEU FILHO'</t>
        </is>
      </c>
      <c r="I666" t="inlineStr">
        <is>
          <t>A PASSAGEM ENTRE OS DOIS PAÍSES ESTÁ PROIBIDA POR CAUSA DA PANDEMIA DE COVID, MAS O FLUXO MIGRATÓRIO CONTINUA ATRAVÉS DAS CHAMADAS "TROCHAS".</t>
        </is>
      </c>
      <c r="J666">
        <f>HYPERLINK("https://g1.globo.com/profissao-reporter/noticia/2021/04/07/venezuelanos-usam-trilhas-clandestinas-para-chegar-ao-brasil-buscando-futuro-para-o-meu-filho.ghtml", "URL")</f>
        <v/>
      </c>
      <c r="K666">
        <f>HYPERLINK("https://raw.githubusercontent.com/marcosmapl/dataset_imigrantes/main/noticias_filtered/g1/venezuelanos/2021/03_abr/html/g1_593f62fe-2308-11ed-b24f-6dbe51e79fca_2380.html", "HTML")</f>
        <v/>
      </c>
      <c r="L666">
        <f>HYPERLINK("https://raw.githubusercontent.com/marcosmapl/dataset_imigrantes/main/noticias_filtered/g1/venezuelanos/2021/03_abr/txt/g1_593f62fe-2308-11ed-b24f-6dbe51e79fca_2380.txt", "TXT")</f>
        <v/>
      </c>
    </row>
    <row r="667">
      <c r="A667" s="1" t="n">
        <v>665</v>
      </c>
      <c r="B667" t="n">
        <v>2021</v>
      </c>
      <c r="C667" s="2" t="n">
        <v>44293.22775628472</v>
      </c>
      <c r="D667" t="inlineStr">
        <is>
          <t>G1</t>
        </is>
      </c>
      <c r="E667" t="inlineStr">
        <is>
          <t>VENEZUELANOS</t>
        </is>
      </c>
      <c r="F667" t="inlineStr">
        <is>
          <t>PROFISSÃO REPÓRTER</t>
        </is>
      </c>
      <c r="G667" t="inlineStr">
        <is>
          <t>PROFISSÃO REPÓRTER</t>
        </is>
      </c>
      <c r="H667" t="inlineStr">
        <is>
          <t>'PROFISSÃO REPÓRTER' REVELA O DRAMA DOS MIGRANTES VENEZUELANOS EM RORAIMA</t>
        </is>
      </c>
      <c r="I667" t="inlineStr">
        <is>
          <t>PROGRAMA MOSTRA O REENCONTRO EMOCIONANTE DE PAI E FILHOS SEPARADOS PELA FRONTEIRA, OS CAMINHOS CLANDESTINOS ENTRE BRASIL E VENEZUELA, OS INDÍGENAS EM BUSCA DE SOCORRO, OS ABRIGOS DO EXÉRCITO E A POLÊMICA DAS DEPORTAÇÕES EM MASSA.</t>
        </is>
      </c>
      <c r="J667">
        <f>HYPERLINK("https://g1.globo.com/profissao-reporter/noticia/2021/04/07/profissao-reporter-revela-o-drama-dos-migrantes-venezuelanos-em-roraima.ghtml", "URL")</f>
        <v/>
      </c>
      <c r="K667">
        <f>HYPERLINK("https://raw.githubusercontent.com/marcosmapl/dataset_imigrantes/main/noticias_filtered/g1/venezuelanos/2021/03_abr/html/g1_bd6c9940-2308-11ed-b24f-6dbe51e79fca_2400.html", "HTML")</f>
        <v/>
      </c>
      <c r="L667">
        <f>HYPERLINK("https://raw.githubusercontent.com/marcosmapl/dataset_imigrantes/main/noticias_filtered/g1/venezuelanos/2021/03_abr/txt/g1_bd6c9940-2308-11ed-b24f-6dbe51e79fca_2400.txt", "TXT")</f>
        <v/>
      </c>
    </row>
    <row r="668">
      <c r="A668" s="1" t="n">
        <v>666</v>
      </c>
      <c r="B668" t="n">
        <v>2021</v>
      </c>
      <c r="C668" s="2" t="n">
        <v>44293.2053503588</v>
      </c>
      <c r="D668" t="inlineStr">
        <is>
          <t>G1</t>
        </is>
      </c>
      <c r="E668" t="inlineStr">
        <is>
          <t>VENEZUELANOS</t>
        </is>
      </c>
      <c r="F668" t="inlineStr">
        <is>
          <t>PROFISSÃO REPÓRTER</t>
        </is>
      </c>
      <c r="G668" t="inlineStr">
        <is>
          <t>PROFISSÃO REPÓRTER</t>
        </is>
      </c>
      <c r="H668" t="inlineStr">
        <is>
          <t>VENEZUELANO REENCONTRA FILHOS TRÊS ANOS APÓS CRUZAR FRONTEIRA PARA O BRASIL: 'ME PERDOEM'</t>
        </is>
      </c>
      <c r="I668" t="inlineStr">
        <is>
          <t>OS REPÓRTERES AUGUSTA LUNARDI E RENAN FERREIRA ACOMPANHARAM A VIAGEM DE JESUS GALLARDO DE SÃO PAULO, ONDE MORA ATUALMENTE, ATÉ PACARAIMA, EM RORAIMA, ONDE OS FILHOS O AGUARDAVAM APÓS ATRAVESSAR A FRONTEIRA POR TRILHAS CLANDESTINAS.</t>
        </is>
      </c>
      <c r="J668">
        <f>HYPERLINK("https://g1.globo.com/profissao-reporter/noticia/2021/04/07/venezuelano-reencontra-filhos-tres-anos-apos-cruzar-fronteira-para-o-brasil-me-perdoem.ghtml", "URL")</f>
        <v/>
      </c>
      <c r="K668">
        <f>HYPERLINK("https://raw.githubusercontent.com/marcosmapl/dataset_imigrantes/main/noticias_filtered/g1/venezuelanos/2021/03_abr/html/g1_5155daca-2315-11ed-b24f-6dbe51e79fca_3079.html", "HTML")</f>
        <v/>
      </c>
      <c r="L668">
        <f>HYPERLINK("https://raw.githubusercontent.com/marcosmapl/dataset_imigrantes/main/noticias_filtered/g1/venezuelanos/2021/03_abr/txt/g1_5155daca-2315-11ed-b24f-6dbe51e79fca_3079.txt", "TXT")</f>
        <v/>
      </c>
    </row>
    <row r="669">
      <c r="A669" s="1" t="n">
        <v>667</v>
      </c>
      <c r="B669" t="n">
        <v>2021</v>
      </c>
      <c r="C669" s="2" t="n">
        <v>44293.19916782407</v>
      </c>
      <c r="D669" t="inlineStr">
        <is>
          <t>G1</t>
        </is>
      </c>
      <c r="E669" t="inlineStr">
        <is>
          <t>VENEZUELANOS</t>
        </is>
      </c>
      <c r="F669" t="inlineStr">
        <is>
          <t>PROFISSÃO REPÓRTER</t>
        </is>
      </c>
      <c r="G669" t="inlineStr">
        <is>
          <t>PROFISSÃO REPÓRTER</t>
        </is>
      </c>
      <c r="H669" t="inlineStr">
        <is>
          <t>INDÍGENAS VENEZUELANOS VIVEM EM CONDIÇÃO PRECÁRIA EM RUAS E OCUPAÇÕES EM RORAIMA</t>
        </is>
      </c>
      <c r="I669" t="inlineStr">
        <is>
          <t>O 'PROFISSÃO REPÓRTER' VISITOU UMA OCUPAÇÃO EM BOA VISTA E TAMBÉM ABRIGOS MONTADOS PELO EXÉRCITO. 'NÓS ESTAMOS FALANDO DE UMA CRISE HUMANITÁRIA', DIZ O GENERAL RESPONSÁVEL PELA OPERAÇÃO ACOLHIDA.</t>
        </is>
      </c>
      <c r="J669">
        <f>HYPERLINK("https://g1.globo.com/profissao-reporter/noticia/2021/04/07/indios-venezuelanos-vivem-em-condicao-precaria-em-ruas-e-ocupacoes-em-roraima.ghtml", "URL")</f>
        <v/>
      </c>
      <c r="K669">
        <f>HYPERLINK("https://raw.githubusercontent.com/marcosmapl/dataset_imigrantes/main/noticias_filtered/g1/venezuelanos/2021/03_abr/html/g1_874abfea-2312-11ed-b24f-6dbe51e79fca_2971.html", "HTML")</f>
        <v/>
      </c>
      <c r="L669">
        <f>HYPERLINK("https://raw.githubusercontent.com/marcosmapl/dataset_imigrantes/main/noticias_filtered/g1/venezuelanos/2021/03_abr/txt/g1_874abfea-2312-11ed-b24f-6dbe51e79fca_2971.txt", "TXT")</f>
        <v/>
      </c>
    </row>
    <row r="670">
      <c r="A670" s="1" t="n">
        <v>668</v>
      </c>
      <c r="B670" t="n">
        <v>2021</v>
      </c>
      <c r="C670" s="2" t="n">
        <v>44291.88949043981</v>
      </c>
      <c r="D670" t="inlineStr">
        <is>
          <t>G1</t>
        </is>
      </c>
      <c r="E670" t="inlineStr">
        <is>
          <t>VENEZUELANOS</t>
        </is>
      </c>
      <c r="F670" t="inlineStr">
        <is>
          <t>RONDÔNIA</t>
        </is>
      </c>
      <c r="G670" t="inlineStr">
        <is>
          <t>G1 RO</t>
        </is>
      </c>
      <c r="H670" t="inlineStr">
        <is>
          <t>HOMEM É DENUNCIADO EM RO POR TRÁFICO HUMANO, RACISMO E POR SUBMETER VENEZUELANOS A TRABALHO ANÁLOGO À ESCRAVIDÃO</t>
        </is>
      </c>
      <c r="I670" t="inlineStr">
        <is>
          <t>DENÚNCIA FOI FEITA PELO MINISTÉRIO PÚBLICO FEDERAL E CASO DEVE SER JULGADO PELA JUSTIÇA FEDERAL EM JI-PARANÁ. UMA DAS VÍTIMAS CONTOU QUE CHEGOU A MORAR POR UM TEMPO EM UMA ANTIGA CASA DE CACHORRO.</t>
        </is>
      </c>
      <c r="J670">
        <f>HYPERLINK("https://g1.globo.com/ro/rondonia/noticia/2021/04/05/homem-e-denunciado-em-ro-por-trafico-humano-racismo-e-por-submeter-venezuelanos-a-trabalho-analogo-a-escravidao.ghtml", "URL")</f>
        <v/>
      </c>
      <c r="K670">
        <f>HYPERLINK("https://raw.githubusercontent.com/marcosmapl/dataset_imigrantes/main/noticias_filtered/g1/venezuelanos/2021/03_abr/html/g1_2b122ac2-2323-11ed-b24f-6dbe51e79fca_3791.html", "HTML")</f>
        <v/>
      </c>
      <c r="L670">
        <f>HYPERLINK("https://raw.githubusercontent.com/marcosmapl/dataset_imigrantes/main/noticias_filtered/g1/venezuelanos/2021/03_abr/txt/g1_2b122ac2-2323-11ed-b24f-6dbe51e79fca_3791.txt", "TXT")</f>
        <v/>
      </c>
    </row>
    <row r="671">
      <c r="A671" s="1" t="n">
        <v>669</v>
      </c>
      <c r="B671" t="n">
        <v>2021</v>
      </c>
      <c r="C671" s="2" t="n">
        <v>44291.76956596065</v>
      </c>
      <c r="D671" t="inlineStr">
        <is>
          <t>G1</t>
        </is>
      </c>
      <c r="E671" t="inlineStr">
        <is>
          <t>HAITIANOS</t>
        </is>
      </c>
      <c r="F671" t="inlineStr">
        <is>
          <t>RIO GRANDE DO SUL</t>
        </is>
      </c>
      <c r="G671" t="inlineStr">
        <is>
          <t>G1 RS E RBS TV</t>
        </is>
      </c>
      <c r="H671" t="inlineStr">
        <is>
          <t>PORTO ALEGRE ABRE CENTRO DE ATENDIMENTO PARA REFUGIADOS E IMIGRANTES</t>
        </is>
      </c>
      <c r="I671" t="inlineStr">
        <is>
          <t>UNIDADE É FORMADA POR ADVOGADO, PSICÓLOGO, ASSISTENTE SOCIAL, ENTRE OUTROS PROFISSIONAIS. PREFEITURA ESTIMA QUE 30 MIL IMIGRANTES VIVAM NA CIDADE, SENDO A MAIORIA HAITIANOS.</t>
        </is>
      </c>
      <c r="J671">
        <f>HYPERLINK("https://g1.globo.com/rs/rio-grande-do-sul/noticia/2021/04/05/porto-alegre-abre-centro-de-atendimento-para-refugiados-e-imigrantes.ghtml", "URL")</f>
        <v/>
      </c>
      <c r="K671">
        <f>HYPERLINK("https://raw.githubusercontent.com/marcosmapl/dataset_imigrantes/main/noticias_filtered/g1/haitianos/2021/03_abr/html/g1_e6f0d2ce-22b1-11ed-b24f-6dbe51e79fca_1640.html", "HTML")</f>
        <v/>
      </c>
      <c r="L671">
        <f>HYPERLINK("https://raw.githubusercontent.com/marcosmapl/dataset_imigrantes/main/noticias_filtered/g1/haitianos/2021/03_abr/txt/g1_e6f0d2ce-22b1-11ed-b24f-6dbe51e79fca_1640.txt", "TXT")</f>
        <v/>
      </c>
    </row>
    <row r="672">
      <c r="A672" s="1" t="n">
        <v>670</v>
      </c>
      <c r="B672" t="n">
        <v>2021</v>
      </c>
      <c r="C672" s="2" t="n">
        <v>44291.65983267361</v>
      </c>
      <c r="D672" t="inlineStr">
        <is>
          <t>G1</t>
        </is>
      </c>
      <c r="E672" t="inlineStr">
        <is>
          <t>VENEZUELANOS</t>
        </is>
      </c>
      <c r="F672" t="inlineStr">
        <is>
          <t>PROFISSÃO REPÓRTER</t>
        </is>
      </c>
      <c r="G672" t="inlineStr"/>
      <c r="H672" t="inlineStr">
        <is>
          <t>PROFISSÃO REPÓRTER DESTA TERÇA (6) MOSTRA A SITUAÇÃO DOS MIGRANTES VENEZUELANOS EM RORAIMA</t>
        </is>
      </c>
      <c r="I672" t="inlineStr">
        <is>
          <t>NO PROGRAMA, VOCÊ VAI VER O REENCONTRO DE UM PAI COM SEUS DOIS FILHOS APÓS TRÊS ANOS, A HISTÓRIA DOS INDÍGENAS VENEZUELANOS AMEAÇADOS DE DEPORTAÇÃO E AS TRILHAS CLANDESTINAS USADAS PELOS MIGRANTES ENQUANTO A FRONTEIRA ESTÁ FECHADA.</t>
        </is>
      </c>
      <c r="J672">
        <f>HYPERLINK("https://g1.globo.com/profissao-reporter/noticia/2021/04/05/profissao-reporter-desta-terca-6-mostra-a-situacao-dos-migrantes-venezuelanos-em-roraima.ghtml", "URL")</f>
        <v/>
      </c>
      <c r="K672">
        <f>HYPERLINK("https://raw.githubusercontent.com/marcosmapl/dataset_imigrantes/main/noticias_filtered/g1/venezuelanos/2021/03_abr/html/g1_25fd2fae-230b-11ed-b24f-6dbe51e79fca_2547.html", "HTML")</f>
        <v/>
      </c>
      <c r="L672">
        <f>HYPERLINK("https://raw.githubusercontent.com/marcosmapl/dataset_imigrantes/main/noticias_filtered/g1/venezuelanos/2021/03_abr/txt/g1_25fd2fae-230b-11ed-b24f-6dbe51e79fca_2547.txt", "TXT")</f>
        <v/>
      </c>
    </row>
    <row r="673">
      <c r="A673" s="1" t="n">
        <v>671</v>
      </c>
      <c r="B673" t="n">
        <v>2021</v>
      </c>
      <c r="C673" s="2" t="n">
        <v>44291.55352224537</v>
      </c>
      <c r="D673" t="inlineStr">
        <is>
          <t>G1</t>
        </is>
      </c>
      <c r="E673" t="inlineStr">
        <is>
          <t>AMBOS</t>
        </is>
      </c>
      <c r="F673" t="inlineStr">
        <is>
          <t>ACRE</t>
        </is>
      </c>
      <c r="G673" t="inlineStr">
        <is>
          <t>ALINE NASCIMENTO, G1 AC — RIO BRANCO</t>
        </is>
      </c>
      <c r="H673" t="inlineStr">
        <is>
          <t>NÚMERO DE IMIGRANTES DIMINUI E ABRIGOS EM ESCOLAS SÃO DESATIVADOS EM ASSIS BRASIL, NO AC</t>
        </is>
      </c>
      <c r="I673" t="inlineStr">
        <is>
          <t>EM FEVEREIRO, CIDADE ENFRENTOU CRISE MIGRATÓRIA COM GRUPO DE MAIS DE 300 ACAMPADOS NA PONTE DA INTEGRAÇÃO. ESTRANGEIROS PASSARAM A USAR O ESPAÇO EM MARÇO, QUANDO A PREFEITURA DE ASSIS BRASIL CONCLUIU OBRAS E CONSEGUIU ACOMODAR OS IMIGRANTES.</t>
        </is>
      </c>
      <c r="J673">
        <f>HYPERLINK("https://g1.globo.com/ac/acre/noticia/2021/04/05/numero-de-imigrantes-diminui-e-abrigos-em-escolas-sao-desativados-em-assis-brasil-no-ac.ghtml", "URL")</f>
        <v/>
      </c>
      <c r="K673">
        <f>HYPERLINK("https://raw.githubusercontent.com/marcosmapl/dataset_imigrantes/main/noticias_filtered/g1/ambos/2021/03_abr/html/g1_7d4b7c4e-230a-11ed-b24f-6dbe51e79fca_2508.html", "HTML")</f>
        <v/>
      </c>
      <c r="L673">
        <f>HYPERLINK("https://raw.githubusercontent.com/marcosmapl/dataset_imigrantes/main/noticias_filtered/g1/ambos/2021/03_abr/txt/g1_7d4b7c4e-230a-11ed-b24f-6dbe51e79fca_2508.txt", "TXT")</f>
        <v/>
      </c>
    </row>
    <row r="674">
      <c r="A674" s="1" t="n">
        <v>672</v>
      </c>
      <c r="B674" t="n">
        <v>2021</v>
      </c>
      <c r="C674" s="2" t="n">
        <v>44289.82633825231</v>
      </c>
      <c r="D674" t="inlineStr">
        <is>
          <t>G1</t>
        </is>
      </c>
      <c r="E674" t="inlineStr">
        <is>
          <t>VENEZUELANOS</t>
        </is>
      </c>
      <c r="F674" t="inlineStr">
        <is>
          <t>RORAIMA</t>
        </is>
      </c>
      <c r="G674" t="inlineStr">
        <is>
          <t>G1 RR — BOA VISTA</t>
        </is>
      </c>
      <c r="H674" t="inlineStr">
        <is>
          <t>CORPO DE VENEZUELANO É ENCONTRADO COM TIRO NA CABEÇA EM ÁREA DE LAVRADO EM BOA VISTA</t>
        </is>
      </c>
      <c r="I674" t="inlineStr">
        <is>
          <t>SEGUNDO A PM, HOMEM ESTAVA SEM DOCUMENTOS E TINHA UMA TATUAGEM NO ANTEBRAÇO DIREITO COM OS NOMES 'ANTÔNIA E ARMANDO'.</t>
        </is>
      </c>
      <c r="J674">
        <f>HYPERLINK("https://g1.globo.com/rr/roraima/noticia/2021/04/03/corpo-e-encontrado-com-tiro-na-cabeca-em-area-de-lavrado-em-boa-vista.ghtml", "URL")</f>
        <v/>
      </c>
      <c r="K674">
        <f>HYPERLINK("https://raw.githubusercontent.com/marcosmapl/dataset_imigrantes/main/noticias_filtered/g1/venezuelanos/2021/03_abr/html/g1_6bfc782a-2324-11ed-b24f-6dbe51e79fca_3870.html", "HTML")</f>
        <v/>
      </c>
      <c r="L674">
        <f>HYPERLINK("https://raw.githubusercontent.com/marcosmapl/dataset_imigrantes/main/noticias_filtered/g1/venezuelanos/2021/03_abr/txt/g1_6bfc782a-2324-11ed-b24f-6dbe51e79fca_3870.txt", "TXT")</f>
        <v/>
      </c>
    </row>
    <row r="675">
      <c r="A675" s="1" t="n">
        <v>673</v>
      </c>
      <c r="B675" t="n">
        <v>2021</v>
      </c>
      <c r="C675" s="2" t="n">
        <v>44289.67546413194</v>
      </c>
      <c r="D675" t="inlineStr">
        <is>
          <t>G1</t>
        </is>
      </c>
      <c r="E675" t="inlineStr">
        <is>
          <t>VENEZUELANOS</t>
        </is>
      </c>
      <c r="F675" t="inlineStr">
        <is>
          <t>ACRE</t>
        </is>
      </c>
      <c r="G675" t="inlineStr">
        <is>
          <t>ALCINETE GADELHA, G1 AC — RIO BRANCO</t>
        </is>
      </c>
      <c r="H675" t="inlineStr">
        <is>
          <t>COM MAIS DE 60 INDÍGENAS VENEZUELANOS NO AC, NOVO ABRIGO É ALUGADO PARA ESTRANGEIROS QUE ESTÃO HÁ UM ANO NO ESTADO</t>
        </is>
      </c>
      <c r="I675" t="inlineStr">
        <is>
          <t>GRUPO DA ETNIA WARAO ESTAVA VIVENDO EM ABRIGO NO CONJUNTO HABITACIONAL CIDADE DO POVO HÁ MAIS DE UM ANO. TRANSFERÊNCIA PARA CHÁCARA ALIANÇA OCORREU NESTA SEMANA, SEGUNDO A SECRETARIA DE ASSISTÊNCIA SOCIAL.</t>
        </is>
      </c>
      <c r="J675">
        <f>HYPERLINK("https://g1.globo.com/ac/acre/noticia/2021/04/03/com-mais-de-60-indigenas-venezuelanos-no-ac-novo-abrigo-e-alugado-para-estrangeiros-que-estao-ha-um-ano-no-estado.ghtml", "URL")</f>
        <v/>
      </c>
      <c r="K675">
        <f>HYPERLINK("https://raw.githubusercontent.com/marcosmapl/dataset_imigrantes/main/noticias_filtered/g1/venezuelanos/2021/03_abr/html/g1_04dc2530-230d-11ed-b24f-6dbe51e79fca_2663.html", "HTML")</f>
        <v/>
      </c>
      <c r="L675">
        <f>HYPERLINK("https://raw.githubusercontent.com/marcosmapl/dataset_imigrantes/main/noticias_filtered/g1/venezuelanos/2021/03_abr/txt/g1_04dc2530-230d-11ed-b24f-6dbe51e79fca_2663.txt", "TXT")</f>
        <v/>
      </c>
    </row>
    <row r="676">
      <c r="A676" s="1" t="n">
        <v>674</v>
      </c>
      <c r="B676" t="n">
        <v>2021</v>
      </c>
      <c r="C676" s="2" t="n">
        <v>44289.59441090278</v>
      </c>
      <c r="D676" t="inlineStr">
        <is>
          <t>G1</t>
        </is>
      </c>
      <c r="E676" t="inlineStr">
        <is>
          <t>VENEZUELANOS</t>
        </is>
      </c>
      <c r="F676" t="inlineStr">
        <is>
          <t>PIAUÍ</t>
        </is>
      </c>
      <c r="G676" t="inlineStr">
        <is>
          <t>MARIA ROMERO, G1 PI</t>
        </is>
      </c>
      <c r="H676" t="inlineStr">
        <is>
          <t>PIAUÍ VAI VACINAR IDOSOS, POLICIAIS E BOMBEIROS; CAPITAL VACINA IMIGRANTES VENEZUELANOS</t>
        </is>
      </c>
      <c r="I676" t="inlineStr">
        <is>
          <t>CAPITAL FARÁ A VACINAÇÃO DE IDOSOS COM A SEGUNDA DOSE DA VACINA E APLICARÁ PRIMEIRA DOSE PARA IMIGRANTES VENEZUELANOS. SECRETARIA DE ESTADO DA SAÚDE E SECRETARIA DE SEGURANÇA VACINARÃO FORÇAS DE SEGURANÇA.</t>
        </is>
      </c>
      <c r="J676">
        <f>HYPERLINK("https://g1.globo.com/pi/piaui/noticia/2021/04/03/teresina-vai-vacinar-venezuelanos-e-garantir-2o-dose-a-idosos-policiais-e-bombeiros-tambem-serao-vacinados.ghtml", "URL")</f>
        <v/>
      </c>
      <c r="K676">
        <f>HYPERLINK("https://raw.githubusercontent.com/marcosmapl/dataset_imigrantes/main/noticias_filtered/g1/venezuelanos/2021/03_abr/html/g1_42e977ea-231e-11ed-b24f-6dbe51e79fca_3549.html", "HTML")</f>
        <v/>
      </c>
      <c r="L676">
        <f>HYPERLINK("https://raw.githubusercontent.com/marcosmapl/dataset_imigrantes/main/noticias_filtered/g1/venezuelanos/2021/03_abr/txt/g1_42e977ea-231e-11ed-b24f-6dbe51e79fca_3549.txt", "TXT")</f>
        <v/>
      </c>
    </row>
    <row r="677">
      <c r="A677" s="1" t="n">
        <v>675</v>
      </c>
      <c r="B677" t="n">
        <v>2021</v>
      </c>
      <c r="C677" s="2" t="n">
        <v>44288.86234619213</v>
      </c>
      <c r="D677" t="inlineStr">
        <is>
          <t>G1</t>
        </is>
      </c>
      <c r="E677" t="inlineStr">
        <is>
          <t>VENEZUELANOS</t>
        </is>
      </c>
      <c r="F677" t="inlineStr">
        <is>
          <t>RIO GRANDE DO NORTE</t>
        </is>
      </c>
      <c r="G677" t="inlineStr">
        <is>
          <t>G1 RN</t>
        </is>
      </c>
      <c r="H677" t="inlineStr">
        <is>
          <t>INDÍGENAS VENEZUELANOS WARAO SÃO VACINADOS CONTRA COVID-19 EM NATAL</t>
        </is>
      </c>
      <c r="I677" t="inlineStr">
        <is>
          <t>GRUPO FAZ PARTE DA POPULAÇÃO EM SITUAÇÃO DE VULNERABILIDADE, QUE TEM SIDO VACINADA NA ATUAL FASE DO PLANO NACIONAL DE IMUNIZAÇÃO, DO MINISTÉRIO DA SAÚDE.</t>
        </is>
      </c>
      <c r="J677">
        <f>HYPERLINK("https://g1.globo.com/rn/rio-grande-do-norte/noticia/2021/04/02/indigenas-venezuelanos-warao-sao-vacinados-contra-covid-19-em-natal.ghtml", "URL")</f>
        <v/>
      </c>
      <c r="K677">
        <f>HYPERLINK("https://raw.githubusercontent.com/marcosmapl/dataset_imigrantes/main/noticias_filtered/g1/venezuelanos/2021/03_abr/html/g1_58f14b68-232c-11ed-b24f-6dbe51e79fca_4299.html", "HTML")</f>
        <v/>
      </c>
      <c r="L677">
        <f>HYPERLINK("https://raw.githubusercontent.com/marcosmapl/dataset_imigrantes/main/noticias_filtered/g1/venezuelanos/2021/03_abr/txt/g1_58f14b68-232c-11ed-b24f-6dbe51e79fca_4299.txt", "TXT")</f>
        <v/>
      </c>
    </row>
    <row r="678">
      <c r="A678" s="1" t="n">
        <v>676</v>
      </c>
      <c r="B678" t="n">
        <v>2021</v>
      </c>
      <c r="C678" s="2" t="n">
        <v>44287.781875</v>
      </c>
      <c r="D678" t="inlineStr">
        <is>
          <t>A CRITICA</t>
        </is>
      </c>
      <c r="E678" t="inlineStr">
        <is>
          <t>VENEZUELANOS</t>
        </is>
      </c>
      <c r="F678" t="inlineStr">
        <is>
          <t>SAUDE</t>
        </is>
      </c>
      <c r="G678" t="inlineStr">
        <is>
          <t>PORTAL A CRÍTICA</t>
        </is>
      </c>
      <c r="H678" t="inlineStr">
        <is>
          <t>UNICEF E CÁRITAS DESENVOLVEM AÇÕES DE PREVENÇÃO À COVID-19 EM MANAUS</t>
        </is>
      </c>
      <c r="I678" t="inlineStr">
        <is>
          <t>O PROJETO EMERGÊNCIA MANAUS – WASH TEM COMO FOCO A PREVENÇÃO À COVID-19 POR MEIO DE MELHORIA NAS CONDIÇÕES DE ÁGUA, HIGIENE E SANEAMENTO EM ABRIGOS E ESPAÇOS DE ACOLHIMENTO</t>
        </is>
      </c>
      <c r="J678">
        <f>HYPERLINK("https://www.acritica.com/saude/unicef-e-caritas-desenvolvem-ac-es-de-prevenc-o-a-covid-19-em-manaus-1.20288", "URL")</f>
        <v/>
      </c>
      <c r="K678">
        <f>HYPERLINK("https://raw.githubusercontent.com/marcosmapl/dataset_imigrantes/main/noticias_filtered/a_critica/venezuelanos/2021/03_abr/html/1.20288_65.html", "HTML")</f>
        <v/>
      </c>
      <c r="L678">
        <f>HYPERLINK("https://raw.githubusercontent.com/marcosmapl/dataset_imigrantes/main/noticias_filtered/a_critica/venezuelanos/2021/03_abr/txt/1.20288_65.txt", "TXT")</f>
        <v/>
      </c>
    </row>
    <row r="679">
      <c r="A679" s="1" t="n">
        <v>677</v>
      </c>
      <c r="B679" t="n">
        <v>2021</v>
      </c>
      <c r="C679" s="2" t="n">
        <v>44286.89666666667</v>
      </c>
      <c r="D679" t="inlineStr">
        <is>
          <t>A CRITICA</t>
        </is>
      </c>
      <c r="E679" t="inlineStr">
        <is>
          <t>VENEZUELANOS</t>
        </is>
      </c>
      <c r="F679" t="inlineStr"/>
      <c r="G679" t="inlineStr">
        <is>
          <t>PORTAL A CRÍTICA</t>
        </is>
      </c>
      <c r="H679" t="inlineStr">
        <is>
          <t>OCUPAÇÃO CULTURAL PROMOVE AÇÃO DE INCLUSÃO EM ABRIGOS DE MANAUS</t>
        </is>
      </c>
      <c r="I679" t="inlineStr">
        <is>
          <t>O OBJETIVO É MINIMIZAR OS EFEITOS DA PANDEMIA E DAR ALTERNATIVAS DE GERAÇÃO DE RENDA PARA PESSOAS (ESTRANGEIRAS OU NÃO) QUE SE ENCONTRAM EM SITUAÇÃO DE VULNERABILIDADE</t>
        </is>
      </c>
      <c r="J679">
        <f>HYPERLINK("https://www.acritica.com/ocupac-o-cultural-promove-ac-o-de-inclus-o-em-abrigos-de-manaus-1.20331", "URL")</f>
        <v/>
      </c>
      <c r="K679">
        <f>HYPERLINK("https://raw.githubusercontent.com/marcosmapl/dataset_imigrantes/main/noticias_filtered/a_critica/venezuelanos/2021/02_mar/html/1.20331_322.html", "HTML")</f>
        <v/>
      </c>
      <c r="L679">
        <f>HYPERLINK("https://raw.githubusercontent.com/marcosmapl/dataset_imigrantes/main/noticias_filtered/a_critica/venezuelanos/2021/02_mar/txt/1.20331_322.txt", "TXT")</f>
        <v/>
      </c>
    </row>
    <row r="680">
      <c r="A680" s="1" t="n">
        <v>678</v>
      </c>
      <c r="B680" t="n">
        <v>2021</v>
      </c>
      <c r="C680" s="2" t="n">
        <v>44285.56872960648</v>
      </c>
      <c r="D680" t="inlineStr">
        <is>
          <t>G1</t>
        </is>
      </c>
      <c r="E680" t="inlineStr">
        <is>
          <t>VENEZUELANOS</t>
        </is>
      </c>
      <c r="F680" t="inlineStr">
        <is>
          <t>RORAIMA</t>
        </is>
      </c>
      <c r="G680" t="inlineStr">
        <is>
          <t>G1 RR — BOA VISTA</t>
        </is>
      </c>
      <c r="H680" t="inlineStr">
        <is>
          <t>HOMEM É MORTO A TIROS NO MEIO DA RUA EM BOA VISTA</t>
        </is>
      </c>
      <c r="I680" t="inlineStr">
        <is>
          <t>GLICIS LEONARDO DE LOS SANTOS SANCHEZ TINHA 32 ANOS E ERA VENEZUELANO.</t>
        </is>
      </c>
      <c r="J680">
        <f>HYPERLINK("https://g1.globo.com/rr/roraima/noticia/2021/03/30/homem-e-morto-a-tiros-no-meio-da-rua-em-boa-vista.ghtml", "URL")</f>
        <v/>
      </c>
      <c r="K680">
        <f>HYPERLINK("https://raw.githubusercontent.com/marcosmapl/dataset_imigrantes/main/noticias_filtered/g1/venezuelanos/2021/02_mar/html/g1_70f60e34-232b-11ed-b24f-6dbe51e79fca_4246.html", "HTML")</f>
        <v/>
      </c>
      <c r="L680">
        <f>HYPERLINK("https://raw.githubusercontent.com/marcosmapl/dataset_imigrantes/main/noticias_filtered/g1/venezuelanos/2021/02_mar/txt/g1_70f60e34-232b-11ed-b24f-6dbe51e79fca_4246.txt", "TXT")</f>
        <v/>
      </c>
    </row>
    <row r="681">
      <c r="A681" s="1" t="n">
        <v>679</v>
      </c>
      <c r="B681" t="n">
        <v>2021</v>
      </c>
      <c r="C681" s="2" t="n">
        <v>44284.48208333334</v>
      </c>
      <c r="D681" t="inlineStr">
        <is>
          <t>A CRITICA</t>
        </is>
      </c>
      <c r="E681" t="inlineStr">
        <is>
          <t>VENEZUELANOS</t>
        </is>
      </c>
      <c r="F681" t="inlineStr">
        <is>
          <t>SAUDE</t>
        </is>
      </c>
      <c r="G681" t="inlineStr">
        <is>
          <t>REUTERS</t>
        </is>
      </c>
      <c r="H681" t="inlineStr">
        <is>
          <t>PRESIDENTE DA VENEZUELA PROPÕE PAGAR VACINAS CONTRA O CORONAVÍRUS COM ÓLEO</t>
        </is>
      </c>
      <c r="I681" t="inlineStr">
        <is>
          <t>ELE NÃO DEU DETALHES DE COMO A NEGOCIAÇÃO FUNCIONARIA</t>
        </is>
      </c>
      <c r="J681">
        <f>HYPERLINK("https://www.acritica.com/saude/presidente-da-venezuela-prop-e-pagar-vacinas-contra-o-coronavirus-com-oleo-1.20557", "URL")</f>
        <v/>
      </c>
      <c r="K681">
        <f>HYPERLINK("https://raw.githubusercontent.com/marcosmapl/dataset_imigrantes/main/noticias_filtered/a_critica/venezuelanos/2021/02_mar/html/1.20557_1080.html", "HTML")</f>
        <v/>
      </c>
      <c r="L681">
        <f>HYPERLINK("https://raw.githubusercontent.com/marcosmapl/dataset_imigrantes/main/noticias_filtered/a_critica/venezuelanos/2021/02_mar/txt/1.20557_1080.txt", "TXT")</f>
        <v/>
      </c>
    </row>
    <row r="682">
      <c r="A682" s="1" t="n">
        <v>680</v>
      </c>
      <c r="B682" t="n">
        <v>2021</v>
      </c>
      <c r="C682" s="2" t="n">
        <v>44283.80262939815</v>
      </c>
      <c r="D682" t="inlineStr">
        <is>
          <t>G1</t>
        </is>
      </c>
      <c r="E682" t="inlineStr">
        <is>
          <t>VENEZUELANOS</t>
        </is>
      </c>
      <c r="F682" t="inlineStr">
        <is>
          <t>MUNDO</t>
        </is>
      </c>
      <c r="G682" t="inlineStr">
        <is>
          <t>REUTERS</t>
        </is>
      </c>
      <c r="H682" t="inlineStr">
        <is>
          <t>LÍDER DA OPOSIÇÃO VENEZUELANA, JUAN GUAIDÓ AFIRMA QUE TESTOU POSITIVO PARA COVID-19</t>
        </is>
      </c>
      <c r="I682" t="inlineStr">
        <is>
          <t>EM SUA CONTA NO TWITTER, ELE DISSE QUE ESTÁ ISOLADO E EXPRESSOU PREOCUPAÇÃO COM O NÚMERO DE INFECÇÕES NO PAÍS.</t>
        </is>
      </c>
      <c r="J682">
        <f>HYPERLINK("https://g1.globo.com/mundo/noticia/2021/03/28/lider-da-oposicao-venezuelana-juan-guaido-afirma-que-testou-positivo-para-covid-19.ghtml", "URL")</f>
        <v/>
      </c>
      <c r="K682">
        <f>HYPERLINK("https://raw.githubusercontent.com/marcosmapl/dataset_imigrantes/main/noticias_filtered/g1/venezuelanos/2021/02_mar/html/g1_c490c57c-2306-11ed-b24f-6dbe51e79fca_2276.html", "HTML")</f>
        <v/>
      </c>
      <c r="L682">
        <f>HYPERLINK("https://raw.githubusercontent.com/marcosmapl/dataset_imigrantes/main/noticias_filtered/g1/venezuelanos/2021/02_mar/txt/g1_c490c57c-2306-11ed-b24f-6dbe51e79fca_2276.txt", "TXT")</f>
        <v/>
      </c>
    </row>
    <row r="683">
      <c r="A683" s="1" t="n">
        <v>681</v>
      </c>
      <c r="B683" t="n">
        <v>2021</v>
      </c>
      <c r="C683" s="2" t="n">
        <v>44282.86648148148</v>
      </c>
      <c r="D683" t="inlineStr">
        <is>
          <t>A CRITICA</t>
        </is>
      </c>
      <c r="E683" t="inlineStr">
        <is>
          <t>VENEZUELANOS</t>
        </is>
      </c>
      <c r="F683" t="inlineStr"/>
      <c r="G683" t="inlineStr">
        <is>
          <t>REUTERS</t>
        </is>
      </c>
      <c r="H683" t="inlineStr">
        <is>
          <t>FACEBOOK CONGELA A PÁGINA DO PRESIDENTE DA VENEZUELA POR DIVULGAÇÃO DE NOTÍCIAS FALSAS SOBRE A COVID-19</t>
        </is>
      </c>
      <c r="I683" t="inlineStr">
        <is>
          <t>ELE DEFENDE O USO DE UM REMÉDIO SEM COMPROVAÇÃO CIENTÍFICA PARA TRATAR A DOENÇA</t>
        </is>
      </c>
      <c r="J683">
        <f>HYPERLINK("https://www.acritica.com/facebook-congela-a-pagina-do-presidente-da-venezuela-por-divulgac-o-de-noticias-falsas-sobre-a-covid-19-1.20607", "URL")</f>
        <v/>
      </c>
      <c r="K683">
        <f>HYPERLINK("https://raw.githubusercontent.com/marcosmapl/dataset_imigrantes/main/noticias_filtered/a_critica/venezuelanos/2021/02_mar/html/1.20607_312.html", "HTML")</f>
        <v/>
      </c>
      <c r="L683">
        <f>HYPERLINK("https://raw.githubusercontent.com/marcosmapl/dataset_imigrantes/main/noticias_filtered/a_critica/venezuelanos/2021/02_mar/txt/1.20607_312.txt", "TXT")</f>
        <v/>
      </c>
    </row>
    <row r="684">
      <c r="A684" s="1" t="n">
        <v>682</v>
      </c>
      <c r="B684" t="n">
        <v>2021</v>
      </c>
      <c r="C684" s="2" t="n">
        <v>44282.60961805555</v>
      </c>
      <c r="D684" t="inlineStr">
        <is>
          <t>A CRITICA</t>
        </is>
      </c>
      <c r="E684" t="inlineStr">
        <is>
          <t>VENEZUELANOS</t>
        </is>
      </c>
      <c r="F684" t="inlineStr"/>
      <c r="G684" t="inlineStr">
        <is>
          <t>PORTAL A CRÍTICA</t>
        </is>
      </c>
      <c r="H684" t="inlineStr">
        <is>
          <t>CAPRICHOSO AJUDA VENEZUELANOS ABANDONADOS POR EMBARCAÇÃO EM PARINTINS</t>
        </is>
      </c>
      <c r="I684" t="inlineStr">
        <is>
          <t>GRUPO SEGUIRIA VIAGEM ATÉ SANTARÉM MAS FOI DEIXADO EM PARINTINS SEM REEMBOLSO DOS VALORES E SEM QUALQUER AUXÍLIO</t>
        </is>
      </c>
      <c r="J684">
        <f>HYPERLINK("https://www.acritica.com/caprichoso-ajuda-venezuelanos-abandonados-por-embarcac-o-em-parintins-1.20641", "URL")</f>
        <v/>
      </c>
      <c r="K684">
        <f>HYPERLINK("https://raw.githubusercontent.com/marcosmapl/dataset_imigrantes/main/noticias_filtered/a_critica/venezuelanos/2021/02_mar/html/1.20641_1017.html", "HTML")</f>
        <v/>
      </c>
      <c r="L684">
        <f>HYPERLINK("https://raw.githubusercontent.com/marcosmapl/dataset_imigrantes/main/noticias_filtered/a_critica/venezuelanos/2021/02_mar/txt/1.20641_1017.txt", "TXT")</f>
        <v/>
      </c>
    </row>
    <row r="685">
      <c r="A685" s="1" t="n">
        <v>683</v>
      </c>
      <c r="B685" t="n">
        <v>2021</v>
      </c>
      <c r="C685" s="2" t="n">
        <v>44281.64501292824</v>
      </c>
      <c r="D685" t="inlineStr">
        <is>
          <t>G1</t>
        </is>
      </c>
      <c r="E685" t="inlineStr">
        <is>
          <t>VENEZUELANOS</t>
        </is>
      </c>
      <c r="F685" t="inlineStr">
        <is>
          <t>RORAIMA</t>
        </is>
      </c>
      <c r="G685" t="inlineStr">
        <is>
          <t>G1 RR — BOA VISTA</t>
        </is>
      </c>
      <c r="H685" t="inlineStr">
        <is>
          <t>MENINA VENEZUELANA DESAPARECE E BOMBEIROS FAZEM BUSCAS NO RIO BRANCO, EM BOA VISTA</t>
        </is>
      </c>
      <c r="I685" t="inlineStr">
        <is>
          <t>MISANYELI ANTONELA DOMINGUEZ CARAPAICA, DE 4 ANOS, SUMIU NO DOMINGO (21), QUANDO BRINCAVA ÀS MARGENS DO RIO BRANCO, NO CALUNGÁ, ZONA SUL DE BOA VISTA. A CRIANÇA VIVIA COM A FAMÍLIA NO ABRIGO RONDON 2, INFORMOU A OPERAÇÃO ACOLHIDA.</t>
        </is>
      </c>
      <c r="J685">
        <f>HYPERLINK("https://g1.globo.com/rr/roraima/noticia/2021/03/26/menina-venezuelana-desaparece-e-bombeiros-fazem-buscas-no-rio-branco-em-boa-vista.ghtml", "URL")</f>
        <v/>
      </c>
      <c r="K685">
        <f>HYPERLINK("https://raw.githubusercontent.com/marcosmapl/dataset_imigrantes/main/noticias_filtered/g1/venezuelanos/2021/02_mar/html/g1_d0be8fa8-2308-11ed-b24f-6dbe51e79fca_2405.html", "HTML")</f>
        <v/>
      </c>
      <c r="L685">
        <f>HYPERLINK("https://raw.githubusercontent.com/marcosmapl/dataset_imigrantes/main/noticias_filtered/g1/venezuelanos/2021/02_mar/txt/g1_d0be8fa8-2308-11ed-b24f-6dbe51e79fca_2405.txt", "TXT")</f>
        <v/>
      </c>
    </row>
    <row r="686">
      <c r="A686" s="1" t="n">
        <v>684</v>
      </c>
      <c r="B686" t="n">
        <v>2021</v>
      </c>
      <c r="C686" s="2" t="n">
        <v>44280.37619585648</v>
      </c>
      <c r="D686" t="inlineStr">
        <is>
          <t>G1</t>
        </is>
      </c>
      <c r="E686" t="inlineStr">
        <is>
          <t>VENEZUELANOS</t>
        </is>
      </c>
      <c r="F686" t="inlineStr">
        <is>
          <t>MUNDO</t>
        </is>
      </c>
      <c r="G686" t="inlineStr">
        <is>
          <t>G1</t>
        </is>
      </c>
      <c r="H686" t="inlineStr">
        <is>
          <t>BRASIL SIMPLIFICA DOCUMENTAÇÃO EXIGIDA PARA VENEZUELANOS QUE SOLICITAREM AUTORIZAÇÃO DE RESIDÊNCIA NO PAÍS</t>
        </is>
      </c>
      <c r="I686" t="inlineStr">
        <is>
          <t>MEDIDA VALE PARA IMIGRANTES DE OUTROS PAÍSES VIZINHOS, MAS BENEFICIA ESPECIALMENTE CIDADÃOS DA VENEZUELA. FLEXIBILIZAÇÃO PODE DESAFOGAR FILA DOS PEDIDOS DE REFÚGIO E FACILITAR QUE VENEZUELANOS RESIDAM LEGALMENTE EM TERRITÓRIO BRASILEIRO.</t>
        </is>
      </c>
      <c r="J686">
        <f>HYPERLINK("https://g1.globo.com/mundo/noticia/2021/03/25/brasil-simplifica-documentacao-exigida-para-venezuelanos-que-solicitarem-autorizacao-de-residencia-no-pais.ghtml", "URL")</f>
        <v/>
      </c>
      <c r="K686">
        <f>HYPERLINK("https://raw.githubusercontent.com/marcosmapl/dataset_imigrantes/main/noticias_filtered/g1/venezuelanos/2021/02_mar/html/g1_ceb66380-2316-11ed-b24f-6dbe51e79fca_3171.html", "HTML")</f>
        <v/>
      </c>
      <c r="L686">
        <f>HYPERLINK("https://raw.githubusercontent.com/marcosmapl/dataset_imigrantes/main/noticias_filtered/g1/venezuelanos/2021/02_mar/txt/g1_ceb66380-2316-11ed-b24f-6dbe51e79fca_3171.txt", "TXT")</f>
        <v/>
      </c>
    </row>
    <row r="687">
      <c r="A687" s="1" t="n">
        <v>685</v>
      </c>
      <c r="B687" t="n">
        <v>2021</v>
      </c>
      <c r="C687" s="2" t="n">
        <v>44279.97791230324</v>
      </c>
      <c r="D687" t="inlineStr">
        <is>
          <t>G1</t>
        </is>
      </c>
      <c r="E687" t="inlineStr">
        <is>
          <t>VENEZUELANOS</t>
        </is>
      </c>
      <c r="F687" t="inlineStr">
        <is>
          <t>RORAIMA</t>
        </is>
      </c>
      <c r="G687" t="inlineStr">
        <is>
          <t>G1 RR — BOA VISTA</t>
        </is>
      </c>
      <c r="H687" t="inlineStr">
        <is>
          <t>JUSTIÇA FEDERAL ORDENA SUSPENSÃO DE DEPORTAÇÕES DE VENEZUELANOS EM RR FEITAS SEM NOTIFICAÇÃO À DPU</t>
        </is>
      </c>
      <c r="I687" t="inlineStr">
        <is>
          <t>ORDEM FOI ASSINADA PELO JUIZ FELIPE BOUZADA FLORES VIANA NESTA QUARTA-FEIRA (24) E CABE RECURSO.</t>
        </is>
      </c>
      <c r="J687">
        <f>HYPERLINK("https://g1.globo.com/rr/roraima/noticia/2021/03/24/justica-federal-ordena-suspensao-de-deportacoes-de-venezuelanos-em-rr-feitas-sem-notificacao-a-dpu.ghtml", "URL")</f>
        <v/>
      </c>
      <c r="K687">
        <f>HYPERLINK("https://raw.githubusercontent.com/marcosmapl/dataset_imigrantes/main/noticias_filtered/g1/venezuelanos/2021/02_mar/html/g1_b94af2d8-230f-11ed-b24f-6dbe51e79fca_2815.html", "HTML")</f>
        <v/>
      </c>
      <c r="L687">
        <f>HYPERLINK("https://raw.githubusercontent.com/marcosmapl/dataset_imigrantes/main/noticias_filtered/g1/venezuelanos/2021/02_mar/txt/g1_b94af2d8-230f-11ed-b24f-6dbe51e79fca_2815.txt", "TXT")</f>
        <v/>
      </c>
    </row>
    <row r="688">
      <c r="A688" s="1" t="n">
        <v>686</v>
      </c>
      <c r="B688" t="n">
        <v>2021</v>
      </c>
      <c r="C688" s="2" t="n">
        <v>44279.8064424537</v>
      </c>
      <c r="D688" t="inlineStr">
        <is>
          <t>G1</t>
        </is>
      </c>
      <c r="E688" t="inlineStr">
        <is>
          <t>VENEZUELANOS</t>
        </is>
      </c>
      <c r="F688" t="inlineStr">
        <is>
          <t>MATO GROSSO DO SUL</t>
        </is>
      </c>
      <c r="G688" t="inlineStr">
        <is>
          <t>FLÁVIO DIAS, G1MS — CAMPO GRANDE</t>
        </is>
      </c>
      <c r="H688" t="inlineStr">
        <is>
          <t>CASAL DE VENEZUELANOS MONTA TRAILER DE LANCHE E BARBEARIA NO MS APÓS SE CONHECER EM ABRIGO DE REFUGIADOS EM RR</t>
        </is>
      </c>
      <c r="I688" t="inlineStr">
        <is>
          <t>MIGUEL E RUBY TEM CINCO FILHOS E VIERAM PARA CAMPO GRANDE EM BUSCA DE UMA OPORTUNIDADE DE RECOMEÇO DEPOIS DE DEIXAR A VENEZUELA, QUE PASSA POR FORTE CRISE ECONÔMICA.</t>
        </is>
      </c>
      <c r="J688">
        <f>HYPERLINK("https://g1.globo.com/ms/mato-grosso-do-sul/noticia/2021/03/24/casal-de-venezuelanos-monta-trailer-de-lanche-e-barbearia-no-ms-apos-se-conhecer-em-abrigo-de-refugiados-em-ro.ghtml", "URL")</f>
        <v/>
      </c>
      <c r="K688">
        <f>HYPERLINK("https://raw.githubusercontent.com/marcosmapl/dataset_imigrantes/main/noticias_filtered/g1/venezuelanos/2021/02_mar/html/g1_52760824-2321-11ed-b24f-6dbe51e79fca_3693.html", "HTML")</f>
        <v/>
      </c>
      <c r="L688">
        <f>HYPERLINK("https://raw.githubusercontent.com/marcosmapl/dataset_imigrantes/main/noticias_filtered/g1/venezuelanos/2021/02_mar/txt/g1_52760824-2321-11ed-b24f-6dbe51e79fca_3693.txt", "TXT")</f>
        <v/>
      </c>
    </row>
    <row r="689">
      <c r="A689" s="1" t="n">
        <v>687</v>
      </c>
      <c r="B689" t="n">
        <v>2021</v>
      </c>
      <c r="C689" s="2" t="n">
        <v>44277.75085211806</v>
      </c>
      <c r="D689" t="inlineStr">
        <is>
          <t>G1</t>
        </is>
      </c>
      <c r="E689" t="inlineStr">
        <is>
          <t>VENEZUELANOS</t>
        </is>
      </c>
      <c r="F689" t="inlineStr">
        <is>
          <t>MUNDO</t>
        </is>
      </c>
      <c r="G689" t="inlineStr">
        <is>
          <t>FRANCE PRESSE</t>
        </is>
      </c>
      <c r="H689" t="inlineStr">
        <is>
          <t>DOIS MILITARES VENEZUELANOS MORREM EM COMBATES COM GRUPOS ILEGAIS COLOMBIANOS</t>
        </is>
      </c>
      <c r="I689" t="inlineStr">
        <is>
          <t>FORÇAS ARMADAS DA VENEZUELA INFORMARAM QUE PRENDERAM 32 PESSOAS QUE PERTENCEM A UMA MILÍCIA DA COLÔMBIA.</t>
        </is>
      </c>
      <c r="J689">
        <f>HYPERLINK("https://g1.globo.com/mundo/noticia/2021/03/22/dois-militares-venezuelanos-morrem-em-combates-com-grupos-ilegais-colombianos.ghtml", "URL")</f>
        <v/>
      </c>
      <c r="K689">
        <f>HYPERLINK("https://raw.githubusercontent.com/marcosmapl/dataset_imigrantes/main/noticias_filtered/g1/venezuelanos/2021/02_mar/html/g1_72c4177e-2321-11ed-b24f-6dbe51e79fca_3700.html", "HTML")</f>
        <v/>
      </c>
      <c r="L689">
        <f>HYPERLINK("https://raw.githubusercontent.com/marcosmapl/dataset_imigrantes/main/noticias_filtered/g1/venezuelanos/2021/02_mar/txt/g1_72c4177e-2321-11ed-b24f-6dbe51e79fca_3700.txt", "TXT")</f>
        <v/>
      </c>
    </row>
    <row r="690">
      <c r="A690" s="1" t="n">
        <v>688</v>
      </c>
      <c r="B690" t="n">
        <v>2021</v>
      </c>
      <c r="C690" s="2" t="n">
        <v>44277.61111111111</v>
      </c>
      <c r="D690" t="inlineStr">
        <is>
          <t>A CRITICA</t>
        </is>
      </c>
      <c r="E690" t="inlineStr">
        <is>
          <t>VENEZUELANOS</t>
        </is>
      </c>
      <c r="F690" t="inlineStr"/>
      <c r="G690" t="inlineStr">
        <is>
          <t>PORTAL A CRÍTICA E AGÊNCIAS</t>
        </is>
      </c>
      <c r="H690" t="inlineStr">
        <is>
          <t>MADURO AFIRMA QUE 'VARIANTE BRASILEIRA' AMEAÇA O MUNDO E CRITICA BOLSONARO: 'IRRESPONSÁVEL'</t>
        </is>
      </c>
      <c r="I690" t="inlineStr">
        <is>
          <t>'O BRASIL SE CONVERTEU NA MAIOR AMEAÇA DO MUNDO POR CULPA DE JAIR BOLSONARO', AFIRMOU O PRESIDENTE VENEZUELANO NICOLÁS MADURO</t>
        </is>
      </c>
      <c r="J690">
        <f>HYPERLINK("https://www.acritica.com/maduro-afirma-que-variante-brasileira-ameaca-o-mundo-e-critica-bolsonaro-irresponsavel-1.20987", "URL")</f>
        <v/>
      </c>
      <c r="K690">
        <f>HYPERLINK("https://raw.githubusercontent.com/marcosmapl/dataset_imigrantes/main/noticias_filtered/a_critica/venezuelanos/2021/02_mar/html/1.20987_538.html", "HTML")</f>
        <v/>
      </c>
      <c r="L690">
        <f>HYPERLINK("https://raw.githubusercontent.com/marcosmapl/dataset_imigrantes/main/noticias_filtered/a_critica/venezuelanos/2021/02_mar/txt/1.20987_538.txt", "TXT")</f>
        <v/>
      </c>
    </row>
    <row r="691">
      <c r="A691" s="1" t="n">
        <v>689</v>
      </c>
      <c r="B691" t="n">
        <v>2021</v>
      </c>
      <c r="C691" s="2" t="n">
        <v>44277.60440519676</v>
      </c>
      <c r="D691" t="inlineStr">
        <is>
          <t>G1</t>
        </is>
      </c>
      <c r="E691" t="inlineStr">
        <is>
          <t>HAITIANOS</t>
        </is>
      </c>
      <c r="F691" t="inlineStr">
        <is>
          <t>SANTA CATARINA</t>
        </is>
      </c>
      <c r="G691" t="inlineStr">
        <is>
          <t>CAROLINE BORGES, G1 SC</t>
        </is>
      </c>
      <c r="H691" t="inlineStr">
        <is>
          <t>HAITIANO É MORTO A FACADAS, PAULADAS E PEDRADAS DURANTE BRIGA DE BAR EM SC</t>
        </is>
      </c>
      <c r="I691" t="inlineStr">
        <is>
          <t>SUSPEITO DE 32 ANOS FOI PRESO EM FLAGRANTE. POLÍCIA CIVIL INVESTIGA A MOTIVAÇÃO DO HOMICÍDIO QUE OCORREU EM RIO DO SUL.</t>
        </is>
      </c>
      <c r="J691">
        <f>HYPERLINK("https://g1.globo.com/sc/santa-catarina/noticia/2021/03/22/haitiano-e-morto-a-facadas-pauladas-e-pedradas-durante-briga-de-bar-em-sc.ghtml", "URL")</f>
        <v/>
      </c>
      <c r="K691">
        <f>HYPERLINK("https://raw.githubusercontent.com/marcosmapl/dataset_imigrantes/main/noticias_filtered/g1/haitianos/2021/02_mar/html/g1_c8b19eec-22f7-11ed-b24f-6dbe51e79fca_2095.html", "HTML")</f>
        <v/>
      </c>
      <c r="L691">
        <f>HYPERLINK("https://raw.githubusercontent.com/marcosmapl/dataset_imigrantes/main/noticias_filtered/g1/haitianos/2021/02_mar/txt/g1_c8b19eec-22f7-11ed-b24f-6dbe51e79fca_2095.txt", "TXT")</f>
        <v/>
      </c>
    </row>
    <row r="692">
      <c r="A692" s="1" t="n">
        <v>690</v>
      </c>
      <c r="B692" t="n">
        <v>2021</v>
      </c>
      <c r="C692" s="2" t="n">
        <v>44277.51998842593</v>
      </c>
      <c r="D692" t="inlineStr">
        <is>
          <t>A CRITICA</t>
        </is>
      </c>
      <c r="E692" t="inlineStr">
        <is>
          <t>VENEZUELANOS</t>
        </is>
      </c>
      <c r="F692" t="inlineStr">
        <is>
          <t>OPINIAO</t>
        </is>
      </c>
      <c r="G692" t="inlineStr">
        <is>
          <t>DULCE RODRIGUEZ</t>
        </is>
      </c>
      <c r="H692" t="inlineStr">
        <is>
          <t>VENEZUELANO SE FORMA COM EXCELÊNCIA EM ANÁLISE E DESENVOLVIMENTO DE SISTEMAS</t>
        </is>
      </c>
      <c r="I692" t="inlineStr">
        <is>
          <t>DEDICAÇÃO, FORÇA DE VONTADE E PERSISTÊNCIA DE ANDRÉS NA BUSCA DA REALIZAÇÃO PROFISSIONAL SÃO EXEMPLO DE QUE É POSSÍVEL ALCANÇAR OS SONHOS MESMO SENDO IMIGRANTE</t>
        </is>
      </c>
      <c r="J692">
        <f>HYPERLINK("https://www.acritica.com/opiniao/venezuelano-se-forma-com-excelencia-em-analise-e-desenvolvimento-de-sistemas-1.215669", "URL")</f>
        <v/>
      </c>
      <c r="K692">
        <f>HYPERLINK("https://raw.githubusercontent.com/marcosmapl/dataset_imigrantes/main/noticias_filtered/a_critica/venezuelanos/2021/02_mar/html/1.215669_504.html", "HTML")</f>
        <v/>
      </c>
      <c r="L692">
        <f>HYPERLINK("https://raw.githubusercontent.com/marcosmapl/dataset_imigrantes/main/noticias_filtered/a_critica/venezuelanos/2021/02_mar/txt/1.215669_504.txt", "TXT")</f>
        <v/>
      </c>
    </row>
    <row r="693">
      <c r="A693" s="1" t="n">
        <v>691</v>
      </c>
      <c r="B693" t="n">
        <v>2021</v>
      </c>
      <c r="C693" s="2" t="n">
        <v>44276.06002420139</v>
      </c>
      <c r="D693" t="inlineStr">
        <is>
          <t>G1</t>
        </is>
      </c>
      <c r="E693" t="inlineStr">
        <is>
          <t>VENEZUELANOS</t>
        </is>
      </c>
      <c r="F693" t="inlineStr">
        <is>
          <t>JORNAL NACIONAL</t>
        </is>
      </c>
      <c r="G693" t="inlineStr">
        <is>
          <t>JORNAL NACIONAL</t>
        </is>
      </c>
      <c r="H693" t="inlineStr">
        <is>
          <t>MARINHA PRENDE 15 VENEZUELANOS E APREENDE BARCO QUE PESCAVA ILEGALMENTE NO AMAPÁ</t>
        </is>
      </c>
      <c r="I693" t="inlineStr">
        <is>
          <t>A DECISÃO FOI UMA OPÇÃO DOS JAPONESES E FOI ACATADA PELO COI E PELO COMITÊ PARALÍMPICO. MAIS DE 600 MIL INGRESSOS JÁ VENDIDOS TERÃO QUE SER REEMBOLSADOS.</t>
        </is>
      </c>
      <c r="J693">
        <f>HYPERLINK("https://g1.globo.com/jornal-nacional/noticia/2021/03/20/marinha-prende-15-venezuelanos-e-apreende-barco-que-pescava-ilegalmente-no-amapa.ghtml", "URL")</f>
        <v/>
      </c>
      <c r="K693">
        <f>HYPERLINK("https://raw.githubusercontent.com/marcosmapl/dataset_imigrantes/main/noticias_filtered/g1/venezuelanos/2021/02_mar/html/g1_83dc0ff4-230c-11ed-b24f-6dbe51e79fca_2629.html", "HTML")</f>
        <v/>
      </c>
      <c r="L693">
        <f>HYPERLINK("https://raw.githubusercontent.com/marcosmapl/dataset_imigrantes/main/noticias_filtered/g1/venezuelanos/2021/02_mar/txt/g1_83dc0ff4-230c-11ed-b24f-6dbe51e79fca_2629.txt", "TXT")</f>
        <v/>
      </c>
    </row>
    <row r="694">
      <c r="A694" s="1" t="n">
        <v>692</v>
      </c>
      <c r="B694" t="n">
        <v>2021</v>
      </c>
      <c r="C694" s="2" t="n">
        <v>44275.61852730324</v>
      </c>
      <c r="D694" t="inlineStr">
        <is>
          <t>G1</t>
        </is>
      </c>
      <c r="E694" t="inlineStr">
        <is>
          <t>VENEZUELANOS</t>
        </is>
      </c>
      <c r="F694" t="inlineStr">
        <is>
          <t>RORAIMA</t>
        </is>
      </c>
      <c r="G694" t="inlineStr">
        <is>
          <t>FABRÍCIO ARAÚJO, G1 RR — BOA VISTA</t>
        </is>
      </c>
      <c r="H694" t="inlineStr">
        <is>
          <t>CÁRITAS E OUTRAS 130 INSTITUIÇÕES REPUDIAM INVASÃO POLICIAL EM CASA QUE ABRIGA VENEZUELANOS EM RR</t>
        </is>
      </c>
      <c r="I694" t="inlineStr">
        <is>
          <t>A DEFENSORIA PÚBLICA DA UNIÃO E O MINISTÉRIO PÚBLICO FEDERAL AFIRMAM QUE OS AGENTES NÃO TINHAM MANDADO E INVADIRAM ABRIGO. NO LOCAL, ESTAVAM 31 MULHERES E 40 CRIANÇAS E ADOLESCENTES.</t>
        </is>
      </c>
      <c r="J694">
        <f>HYPERLINK("https://g1.globo.com/rr/roraima/noticia/2021/03/20/caritas-e-outras-80-instituicoes-repudiam-invasao-policial-em-casa-que-abriga-venezuelanos-em-rr.ghtml", "URL")</f>
        <v/>
      </c>
      <c r="K694">
        <f>HYPERLINK("https://raw.githubusercontent.com/marcosmapl/dataset_imigrantes/main/noticias_filtered/g1/venezuelanos/2021/02_mar/html/g1_7bd0bc86-2318-11ed-b24f-6dbe51e79fca_3263.html", "HTML")</f>
        <v/>
      </c>
      <c r="L694">
        <f>HYPERLINK("https://raw.githubusercontent.com/marcosmapl/dataset_imigrantes/main/noticias_filtered/g1/venezuelanos/2021/02_mar/txt/g1_7bd0bc86-2318-11ed-b24f-6dbe51e79fca_3263.txt", "TXT")</f>
        <v/>
      </c>
    </row>
    <row r="695">
      <c r="A695" s="1" t="n">
        <v>693</v>
      </c>
      <c r="B695" t="n">
        <v>2021</v>
      </c>
      <c r="C695" s="2" t="n">
        <v>44275.56723850694</v>
      </c>
      <c r="D695" t="inlineStr">
        <is>
          <t>G1</t>
        </is>
      </c>
      <c r="E695" t="inlineStr">
        <is>
          <t>HAITIANOS</t>
        </is>
      </c>
      <c r="F695" t="inlineStr">
        <is>
          <t>SOROCABA E JUNDIAÍ</t>
        </is>
      </c>
      <c r="G695" t="inlineStr">
        <is>
          <t>GABRIELA ALMEIDA*, G1 SOROCABA E JUNDIAÍ</t>
        </is>
      </c>
      <c r="H695" t="inlineStr">
        <is>
          <t>MENINO DE 6 ANOS TROCA PRESENTE DE ANIVERSÁRIO POR ALIMENTOS PARA MORADORES DE RUA: 'SONHO DELE É AJUDAR', DIZ MÃE</t>
        </is>
      </c>
      <c r="I695" t="inlineStr">
        <is>
          <t>JONATHAN LUMA LORGEANT É MORADOR DE VÁRZEA PAULISTA (SP) E COM A AJUDA DA FAMÍLIA, QUE É HAITIANA, DISTRIBUIU APROXIMADAMENTE 200 KITS DE CACHORRO-QUENTE PARA MORADORES DE RUA.</t>
        </is>
      </c>
      <c r="J695">
        <f>HYPERLINK("https://g1.globo.com/sp/sorocaba-jundiai/noticia/2021/03/20/menino-de-6-anos-troca-presente-de-aniversario-por-alimentos-para-moradores-de-rua-sonho-dele-e-ajudar-diz-mae.ghtml", "URL")</f>
        <v/>
      </c>
      <c r="K695">
        <f>HYPERLINK("https://raw.githubusercontent.com/marcosmapl/dataset_imigrantes/main/noticias_filtered/g1/haitianos/2021/02_mar/html/g1_79aea908-230a-11ed-b24f-6dbe51e79fca_2507.html", "HTML")</f>
        <v/>
      </c>
      <c r="L695">
        <f>HYPERLINK("https://raw.githubusercontent.com/marcosmapl/dataset_imigrantes/main/noticias_filtered/g1/haitianos/2021/02_mar/txt/g1_79aea908-230a-11ed-b24f-6dbe51e79fca_2507.txt", "TXT")</f>
        <v/>
      </c>
    </row>
    <row r="696">
      <c r="A696" s="1" t="n">
        <v>694</v>
      </c>
      <c r="B696" t="n">
        <v>2021</v>
      </c>
      <c r="C696" s="2" t="n">
        <v>44275.55610836806</v>
      </c>
      <c r="D696" t="inlineStr">
        <is>
          <t>G1</t>
        </is>
      </c>
      <c r="E696" t="inlineStr">
        <is>
          <t>VENEZUELANOS</t>
        </is>
      </c>
      <c r="F696" t="inlineStr">
        <is>
          <t>AMAPÁ</t>
        </is>
      </c>
      <c r="G696" t="inlineStr">
        <is>
          <t>NÚBIA PACHECO, G1 AP — MACAPÁ</t>
        </is>
      </c>
      <c r="H696" t="inlineStr">
        <is>
          <t>MARINHA APREENDE BARCO COM 15 VENEZUELANOS E 3 TONELADAS DE PESCADO ILEGAL NA COSTA DO AMAPÁ</t>
        </is>
      </c>
      <c r="I696" t="inlineStr">
        <is>
          <t>GRUPO COMETIA PESCA ILEGAL EM ÁGUAS BRASILEIRAS. EMBARCAÇÃO APORTOU EM SANTANA NA MANHÃ DESTE SÁBADO (20).</t>
        </is>
      </c>
      <c r="J696">
        <f>HYPERLINK("https://g1.globo.com/ap/amapa/noticia/2021/03/20/marinha-apreende-barco-com-15-venezuelanos-e-3-toneladas-de-pescado-ilegal-na-costa-do-amapa.ghtml", "URL")</f>
        <v/>
      </c>
      <c r="K696">
        <f>HYPERLINK("https://raw.githubusercontent.com/marcosmapl/dataset_imigrantes/main/noticias_filtered/g1/venezuelanos/2021/02_mar/html/g1_17806378-2320-11ed-b24f-6dbe51e79fca_3662.html", "HTML")</f>
        <v/>
      </c>
      <c r="L696">
        <f>HYPERLINK("https://raw.githubusercontent.com/marcosmapl/dataset_imigrantes/main/noticias_filtered/g1/venezuelanos/2021/02_mar/txt/g1_17806378-2320-11ed-b24f-6dbe51e79fca_3662.txt", "TXT")</f>
        <v/>
      </c>
    </row>
    <row r="697">
      <c r="A697" s="1" t="n">
        <v>695</v>
      </c>
      <c r="B697" t="n">
        <v>2021</v>
      </c>
      <c r="C697" s="2" t="n">
        <v>44273.93339158565</v>
      </c>
      <c r="D697" t="inlineStr">
        <is>
          <t>G1</t>
        </is>
      </c>
      <c r="E697" t="inlineStr">
        <is>
          <t>VENEZUELANOS</t>
        </is>
      </c>
      <c r="F697" t="inlineStr">
        <is>
          <t>RORAIMA</t>
        </is>
      </c>
      <c r="G697" t="inlineStr">
        <is>
          <t>VANESSA FERNANDES E VALÉRIA OLIVEIRA, G1 RR — BOA VISTA</t>
        </is>
      </c>
      <c r="H697" t="inlineStr">
        <is>
          <t>PF INVADE ABRIGO COM MAIS DE 50 MULHERES E CRIANÇAS VENEZUELANAS EM RR E AÇÃO COBRA INDENIZAÇÃO POR DANOS MORAIS</t>
        </is>
      </c>
      <c r="I697" t="inlineStr">
        <is>
          <t>AÇÃO DA DEFENSORIA PÚBLICA DA UNIÃO E O MINISTÉRIO PÚBLICO FEDERAL AFIRMA QUE AGENTES NÃO TINHAM MANDADO E INVADIRAM ABRIGO "COM ARMAS E CAPUZES". PEDIDO À JUSTIÇA PEDE QUE A UNIÃO SEJA CONDENADA A PAGAR R$ 25 MILHÕES DE INDENIZAÇÃO E QUE A PF SEJA IMPEDIDA DE IMIGRANTES EM SITUAÇÃO DE VULNERABILIDADE.</t>
        </is>
      </c>
      <c r="J697">
        <f>HYPERLINK("https://g1.globo.com/rr/roraima/noticia/2021/03/18/pf-tenta-deportar-mais-de-50-mulheres-e-criancas-venezuelanas-de-abrigo-em-rr-e-acao-cobra-indenizacao-por-danos-morais.ghtml", "URL")</f>
        <v/>
      </c>
      <c r="K697">
        <f>HYPERLINK("https://raw.githubusercontent.com/marcosmapl/dataset_imigrantes/main/noticias_filtered/g1/venezuelanos/2021/02_mar/html/g1_20ecca36-2317-11ed-b24f-6dbe51e79fca_3187.html", "HTML")</f>
        <v/>
      </c>
      <c r="L697">
        <f>HYPERLINK("https://raw.githubusercontent.com/marcosmapl/dataset_imigrantes/main/noticias_filtered/g1/venezuelanos/2021/02_mar/txt/g1_20ecca36-2317-11ed-b24f-6dbe51e79fca_3187.txt", "TXT")</f>
        <v/>
      </c>
    </row>
    <row r="698">
      <c r="A698" s="1" t="n">
        <v>696</v>
      </c>
      <c r="B698" t="n">
        <v>2021</v>
      </c>
      <c r="C698" s="2" t="n">
        <v>44273.92750119213</v>
      </c>
      <c r="D698" t="inlineStr">
        <is>
          <t>G1</t>
        </is>
      </c>
      <c r="E698" t="inlineStr">
        <is>
          <t>VENEZUELANOS</t>
        </is>
      </c>
      <c r="F698" t="inlineStr">
        <is>
          <t>SANTARÉM E REGIÃO</t>
        </is>
      </c>
      <c r="G698" t="inlineStr">
        <is>
          <t>G1 SANTARÉM — PA</t>
        </is>
      </c>
      <c r="H698" t="inlineStr">
        <is>
          <t>DIREITOS DA POPULAÇÃO INDÍGENA IMIGRANTE VENEZUELANA SÃO DISCUTIDOS EM CAPACITAÇÃO VIRTUAL</t>
        </is>
      </c>
      <c r="I698" t="inlineStr">
        <is>
          <t>SEMTRAS E CAAF DE SANTARÉM PARTICIPAÇÃO DO ENCONTRO. AMPLIAÇÃO DOS CONHECIMENTOS E FORTALECIMENTO DE CAPACIDADES TÉCNICAS LOCAIS PARA ELABORAÇÃO DE POLÍTICAS PÚBLICAS TAMBÉM ENTRARAM EM PAUTA.</t>
        </is>
      </c>
      <c r="J698">
        <f>HYPERLINK("https://g1.globo.com/pa/santarem-regiao/noticia/2021/03/18/direitos-da-populacao-indigena-imigrante-venezuelana-sao-discutidos-em-capacitacao-virtual.ghtml", "URL")</f>
        <v/>
      </c>
      <c r="K698">
        <f>HYPERLINK("https://raw.githubusercontent.com/marcosmapl/dataset_imigrantes/main/noticias_filtered/g1/venezuelanos/2021/02_mar/html/g1_2b3f895e-2314-11ed-b24f-6dbe51e79fca_3049.html", "HTML")</f>
        <v/>
      </c>
      <c r="L698">
        <f>HYPERLINK("https://raw.githubusercontent.com/marcosmapl/dataset_imigrantes/main/noticias_filtered/g1/venezuelanos/2021/02_mar/txt/g1_2b3f895e-2314-11ed-b24f-6dbe51e79fca_3049.txt", "TXT")</f>
        <v/>
      </c>
    </row>
    <row r="699">
      <c r="A699" s="1" t="n">
        <v>697</v>
      </c>
      <c r="B699" t="n">
        <v>2021</v>
      </c>
      <c r="C699" s="2" t="n">
        <v>44273.0182472801</v>
      </c>
      <c r="D699" t="inlineStr">
        <is>
          <t>G1</t>
        </is>
      </c>
      <c r="E699" t="inlineStr">
        <is>
          <t>VENEZUELANOS</t>
        </is>
      </c>
      <c r="F699" t="inlineStr">
        <is>
          <t>TOCANTINS</t>
        </is>
      </c>
      <c r="G699" t="inlineStr">
        <is>
          <t>G1 TOCANTINS</t>
        </is>
      </c>
      <c r="H699" t="inlineStr">
        <is>
          <t>INDÍGENAS VENEZUELANOS DENUNCIAM ATAQUES XENOFÓBICOS EM PALMAS E DEFENSORIA COBRA ASSISTÊNCIA DA PREFEITURA</t>
        </is>
      </c>
      <c r="I699" t="inlineStr">
        <is>
          <t>NÚCLEO DE DIREITOS HUMANOS DA INSTITUIÇÃO DIZ QUE GRUPO INFORMOU TER RECEBIDO OFENSAS RACISTAS EM SINAIS DE TRÂNSITO ONDE PEDEM DINHEIRO PARA SOBREVIVER.</t>
        </is>
      </c>
      <c r="J699">
        <f>HYPERLINK("https://g1.globo.com/to/tocantins/noticia/2021/03/17/indigenas-venezuelanos-denunciam-ataques-xenofobicos-em-palmas-e-defensoria-cobra-assistencia-da-prefeitura.ghtml", "URL")</f>
        <v/>
      </c>
      <c r="K699">
        <f>HYPERLINK("https://raw.githubusercontent.com/marcosmapl/dataset_imigrantes/main/noticias_filtered/g1/venezuelanos/2021/02_mar/html/g1_7e59bb6a-2313-11ed-b24f-6dbe51e79fca_3012.html", "HTML")</f>
        <v/>
      </c>
      <c r="L699">
        <f>HYPERLINK("https://raw.githubusercontent.com/marcosmapl/dataset_imigrantes/main/noticias_filtered/g1/venezuelanos/2021/02_mar/txt/g1_7e59bb6a-2313-11ed-b24f-6dbe51e79fca_3012.txt", "TXT")</f>
        <v/>
      </c>
    </row>
    <row r="700">
      <c r="A700" s="1" t="n">
        <v>698</v>
      </c>
      <c r="B700" t="n">
        <v>2021</v>
      </c>
      <c r="C700" s="2" t="n">
        <v>44272.49722222222</v>
      </c>
      <c r="D700" t="inlineStr">
        <is>
          <t>A CRITICA</t>
        </is>
      </c>
      <c r="E700" t="inlineStr">
        <is>
          <t>VENEZUELANOS</t>
        </is>
      </c>
      <c r="F700" t="inlineStr">
        <is>
          <t>ESPORTES</t>
        </is>
      </c>
      <c r="G700" t="inlineStr">
        <is>
          <t>DANIEL PRESTES</t>
        </is>
      </c>
      <c r="H700" t="inlineStr">
        <is>
          <t>ANTES DE ENCARAR O AMAZONAS, ALAN GEORGE ANALISA TRABALHO: ‘COMEÇANDO A CHEGAR EM 50%’</t>
        </is>
      </c>
      <c r="I700" t="inlineStr">
        <is>
          <t>TÉCNICO DO LEÃO DA VILA MUNICIPAL ESPERA JOGO DIFÍCIL NESTA QUARTA-FEIRA, PELA TERCEIRA RODADA DO BAREZÃO 2021</t>
        </is>
      </c>
      <c r="J700">
        <f>HYPERLINK("https://www.acritica.com/esportes/antes-de-encarar-o-amazonas-alan-george-analisa-trabalho-comecando-a-chegar-em-50-1.21390", "URL")</f>
        <v/>
      </c>
      <c r="K700">
        <f>HYPERLINK("https://raw.githubusercontent.com/marcosmapl/dataset_imigrantes/main/noticias_filtered/a_critica/venezuelanos/2021/02_mar/html/1.21390_1193.html", "HTML")</f>
        <v/>
      </c>
      <c r="L700">
        <f>HYPERLINK("https://raw.githubusercontent.com/marcosmapl/dataset_imigrantes/main/noticias_filtered/a_critica/venezuelanos/2021/02_mar/txt/1.21390_1193.txt", "TXT")</f>
        <v/>
      </c>
    </row>
    <row r="701">
      <c r="A701" s="1" t="n">
        <v>699</v>
      </c>
      <c r="B701" t="n">
        <v>2021</v>
      </c>
      <c r="C701" s="2" t="n">
        <v>44268.95591435185</v>
      </c>
      <c r="D701" t="inlineStr">
        <is>
          <t>A CRITICA</t>
        </is>
      </c>
      <c r="E701" t="inlineStr">
        <is>
          <t>VENEZUELANOS</t>
        </is>
      </c>
      <c r="F701" t="inlineStr">
        <is>
          <t>MANAUS</t>
        </is>
      </c>
      <c r="G701" t="inlineStr">
        <is>
          <t>JOANA QUEIROZ</t>
        </is>
      </c>
      <c r="H701" t="inlineStr">
        <is>
          <t>DROGAS AVALIADAS EM R$ 36 MILHÕES SÃO APREENDIDAS PRÓXIMO À COARI</t>
        </is>
      </c>
      <c r="I701" t="inlineStr">
        <is>
          <t>DE ACORDO COM AS INVESTIGAÇÕES O ENTORPECENTE PERTENCE AO EMPRESÁRIO E TRAFICANTE DE DROGA, JOSÉ MARIA FIGUEIRÓ, O “REI DO PÓ” QUE É PRESO FUGITIVO DA JUSTIÇA</t>
        </is>
      </c>
      <c r="J701">
        <f>HYPERLINK("https://www.acritica.com/manaus/drogas-avaliadas-em-r-36-milh-es-s-o-apreendidas-proximo-a-coari-1.21959", "URL")</f>
        <v/>
      </c>
      <c r="K701">
        <f>HYPERLINK("https://raw.githubusercontent.com/marcosmapl/dataset_imigrantes/main/noticias_filtered/a_critica/venezuelanos/2021/02_mar/html/1.21959_1016.html", "HTML")</f>
        <v/>
      </c>
      <c r="L701">
        <f>HYPERLINK("https://raw.githubusercontent.com/marcosmapl/dataset_imigrantes/main/noticias_filtered/a_critica/venezuelanos/2021/02_mar/txt/1.21959_1016.txt", "TXT")</f>
        <v/>
      </c>
    </row>
    <row r="702">
      <c r="A702" s="1" t="n">
        <v>700</v>
      </c>
      <c r="B702" t="n">
        <v>2021</v>
      </c>
      <c r="C702" s="2" t="n">
        <v>44267.7371875</v>
      </c>
      <c r="D702" t="inlineStr">
        <is>
          <t>A CRITICA</t>
        </is>
      </c>
      <c r="E702" t="inlineStr">
        <is>
          <t>VENEZUELANOS</t>
        </is>
      </c>
      <c r="F702" t="inlineStr"/>
      <c r="G702" t="inlineStr">
        <is>
          <t>PORTAL A CRÍTICA</t>
        </is>
      </c>
      <c r="H702" t="inlineStr">
        <is>
          <t>ALOJAMENTO DE TRÂNSITO DE MANAUS ALCANÇA MARCA DE 10 MIL REFUGIADOS INTERIORIZADOS</t>
        </is>
      </c>
      <c r="I702" t="inlineStr">
        <is>
          <t>ESPAÇO AUXILIA PESSOAS REFUGIADAS E MIGRANTES QUE AGUARDAM POR VOOS DE INTERIORIZAÇÃO PARA OUTROS ESTADOS DO PAÍS</t>
        </is>
      </c>
      <c r="J702">
        <f>HYPERLINK("https://www.acritica.com/alojamento-de-transito-de-manaus-alcanca-marca-de-10-mil-refugiados-interiorizados-1.22141", "URL")</f>
        <v/>
      </c>
      <c r="K702">
        <f>HYPERLINK("https://raw.githubusercontent.com/marcosmapl/dataset_imigrantes/main/noticias_filtered/a_critica/venezuelanos/2021/02_mar/html/1.22141_22.html", "HTML")</f>
        <v/>
      </c>
      <c r="L702">
        <f>HYPERLINK("https://raw.githubusercontent.com/marcosmapl/dataset_imigrantes/main/noticias_filtered/a_critica/venezuelanos/2021/02_mar/txt/1.22141_22.txt", "TXT")</f>
        <v/>
      </c>
    </row>
    <row r="703">
      <c r="A703" s="1" t="n">
        <v>701</v>
      </c>
      <c r="B703" t="n">
        <v>2021</v>
      </c>
      <c r="C703" s="2" t="n">
        <v>44264.8935259838</v>
      </c>
      <c r="D703" t="inlineStr">
        <is>
          <t>G1</t>
        </is>
      </c>
      <c r="E703" t="inlineStr">
        <is>
          <t>HAITIANOS</t>
        </is>
      </c>
      <c r="F703" t="inlineStr">
        <is>
          <t>ACRE</t>
        </is>
      </c>
      <c r="G703" t="inlineStr">
        <is>
          <t>ALCINETE GADELHA E JANINE BRASIL, G1 AC — RIO BRANCO</t>
        </is>
      </c>
      <c r="H703" t="inlineStr">
        <is>
          <t>IMPEDIDOS DE DEIXAR BRASIL, IMIGRANTES VIVEM ANGÚSTIA NA FRONTEIRA DO AC COM PERU: 'DEUS NUNCA DEIXA UM FILHO SOZINHO'</t>
        </is>
      </c>
      <c r="I703" t="inlineStr">
        <is>
          <t>IMIGRANTES, NA MAIORIA HAITIANOS, ESTÃO EM ASSIS BRASIL, NO INTERIOR DO ACRE, NA TENTATIVA DE DEIXAR O PAÍS, MAS, FORAM IMPEDIDOS DE ENTRAR NA CIDADE DE IÑAPARI, NO PERU. ELES FICARAM MAIS DE 20 DIAS NA PONTE DA INTEGRAÇÃO, DE ONDE SAÍRAM NA TARDE DESSA SEGUNDA-FEIRA (8).</t>
        </is>
      </c>
      <c r="J703">
        <f>HYPERLINK("https://g1.globo.com/ac/acre/noticia/2021/03/09/impedidos-de-deixar-brasil-imigrantes-vivem-angustia-na-fronteira-do-ac-com-peru-deus-nunca-deixa-um-filho-sozinho.ghtml", "URL")</f>
        <v/>
      </c>
      <c r="K703">
        <f>HYPERLINK("https://raw.githubusercontent.com/marcosmapl/dataset_imigrantes/main/noticias_filtered/g1/haitianos/2021/02_mar/html/g1_a021c3f2-22f8-11ed-b24f-6dbe51e79fca_2147.html", "HTML")</f>
        <v/>
      </c>
      <c r="L703">
        <f>HYPERLINK("https://raw.githubusercontent.com/marcosmapl/dataset_imigrantes/main/noticias_filtered/g1/haitianos/2021/02_mar/txt/g1_a021c3f2-22f8-11ed-b24f-6dbe51e79fca_2147.txt", "TXT")</f>
        <v/>
      </c>
    </row>
    <row r="704">
      <c r="A704" s="1" t="n">
        <v>702</v>
      </c>
      <c r="B704" t="n">
        <v>2021</v>
      </c>
      <c r="C704" s="2" t="n">
        <v>44264.75816883102</v>
      </c>
      <c r="D704" t="inlineStr">
        <is>
          <t>G1</t>
        </is>
      </c>
      <c r="E704" t="inlineStr">
        <is>
          <t>VENEZUELANOS</t>
        </is>
      </c>
      <c r="F704" t="inlineStr">
        <is>
          <t>TOCANTINS</t>
        </is>
      </c>
      <c r="G704" t="inlineStr"/>
      <c r="H704" t="inlineStr">
        <is>
          <t>SEM DOCUMENTAÇÃO, INDÍGENAS VENEZUELANOS NÃO CONSEGUEM TRABALHO E SÃO DESPEJADOS DE CASA EM ARAGUAÍNA</t>
        </is>
      </c>
      <c r="I704" t="inlineStr">
        <is>
          <t>PELO MENOS 38 PESSOAS ESTARIAM MORANDO NO LOCAL; 15 DELAS SÃO CRIANÇAS. DEFENSORIA PÚBLICA TENTA ORGANIZAR DOCUMENTAÇÃO PARA QUE FAMÍLIAS TENHAM ACESSO AOS SERVIÇOS PÚBLICOS.</t>
        </is>
      </c>
      <c r="J704">
        <f>HYPERLINK("https://g1.globo.com/to/tocantins/noticia/2021/03/09/sem-documentacao-indigenas-venezuelanos-nao-conseguem-trabalho-e-sao-despejados-de-casa-em-araguaina.ghtml", "URL")</f>
        <v/>
      </c>
      <c r="K704">
        <f>HYPERLINK("https://raw.githubusercontent.com/marcosmapl/dataset_imigrantes/main/noticias_filtered/g1/venezuelanos/2021/02_mar/html/g1_30b2ccf8-230e-11ed-b24f-6dbe51e79fca_2727.html", "HTML")</f>
        <v/>
      </c>
      <c r="L704">
        <f>HYPERLINK("https://raw.githubusercontent.com/marcosmapl/dataset_imigrantes/main/noticias_filtered/g1/venezuelanos/2021/02_mar/txt/g1_30b2ccf8-230e-11ed-b24f-6dbe51e79fca_2727.txt", "TXT")</f>
        <v/>
      </c>
    </row>
    <row r="705">
      <c r="A705" s="1" t="n">
        <v>703</v>
      </c>
      <c r="B705" t="n">
        <v>2021</v>
      </c>
      <c r="C705" s="2" t="n">
        <v>44264.03176704861</v>
      </c>
      <c r="D705" t="inlineStr">
        <is>
          <t>G1</t>
        </is>
      </c>
      <c r="E705" t="inlineStr">
        <is>
          <t>VENEZUELANOS</t>
        </is>
      </c>
      <c r="F705" t="inlineStr">
        <is>
          <t>MUNDO</t>
        </is>
      </c>
      <c r="G705" t="inlineStr">
        <is>
          <t>REUTERS</t>
        </is>
      </c>
      <c r="H705" t="inlineStr">
        <is>
          <t>BIDEN CONCEDE PROTEÇÃO TEMPORÁRIA A VENEZUELANOS QUE ESTÃO NOS EUA</t>
        </is>
      </c>
      <c r="I705" t="inlineStr">
        <is>
          <t>AQUELES QUE COMPROVAREM QUE ESTÃO MORANDO NO PAÍS DE FORMA CONTÍNUA VÃO RECEBER UMA EXTENSÃO DE 18 MESES DE PERMANÊNCIA E TAMBÉM PODERÃO ADQUIRIR AUTORIZAÇÕES PARA TRABALHAR. DECISÃO PODE AJUDAR CERCA DE 320 MIL PESSOAS E É CUMPRIMENTO DE UMA PROMESSA DE CAMPANHA.</t>
        </is>
      </c>
      <c r="J705">
        <f>HYPERLINK("https://g1.globo.com/mundo/noticia/2021/03/08/biden-concede-protecao-temporaria-a-venezuelanos-que-estao-nos-eua.ghtml", "URL")</f>
        <v/>
      </c>
      <c r="K705">
        <f>HYPERLINK("https://raw.githubusercontent.com/marcosmapl/dataset_imigrantes/main/noticias_filtered/g1/venezuelanos/2021/02_mar/html/g1_dee20b84-2310-11ed-b24f-6dbe51e79fca_2881.html", "HTML")</f>
        <v/>
      </c>
      <c r="L705">
        <f>HYPERLINK("https://raw.githubusercontent.com/marcosmapl/dataset_imigrantes/main/noticias_filtered/g1/venezuelanos/2021/02_mar/txt/g1_dee20b84-2310-11ed-b24f-6dbe51e79fca_2881.txt", "TXT")</f>
        <v/>
      </c>
    </row>
    <row r="706">
      <c r="A706" s="1" t="n">
        <v>704</v>
      </c>
      <c r="B706" t="n">
        <v>2021</v>
      </c>
      <c r="C706" s="2" t="n">
        <v>44263.90188237269</v>
      </c>
      <c r="D706" t="inlineStr">
        <is>
          <t>G1</t>
        </is>
      </c>
      <c r="E706" t="inlineStr">
        <is>
          <t>HAITIANOS</t>
        </is>
      </c>
      <c r="F706" t="inlineStr">
        <is>
          <t>ACRE</t>
        </is>
      </c>
      <c r="G706" t="inlineStr">
        <is>
          <t>ALCINETE GADELHA, G1 AC — RIO BRANCO</t>
        </is>
      </c>
      <c r="H706" t="inlineStr">
        <is>
          <t>DE FORMA PACÍFICA, IMIGRANTES ACAMPADOS EM PONTE QUE LIGA ACRE AO PERU DEIXAM LOCAL APÓS DETERMINAÇÃO DA JUSTIÇA FEDERAL</t>
        </is>
      </c>
      <c r="I706" t="inlineStr">
        <is>
          <t>ESTRANGEIROS QUE ESTÃO NA CIDADE TENTAM SAIR DO BRASIL PARA O PERU USANDO O ACRE COMO ROTA. PONTE JÁ CHEGOU A SER OCUPADA POR PELO MENOS 300 IMIGRANTES, NA MAIORIA HAITIANOS, NO DIA 14 DE FEVEREIRO.</t>
        </is>
      </c>
      <c r="J706">
        <f>HYPERLINK("https://g1.globo.com/ac/acre/noticia/2021/03/08/de-forma-pacifica-imigrantes-acampados-em-ponte-que-liga-acre-ao-peru-deixam-local-apos-determinacao-da-justica-federal.ghtml", "URL")</f>
        <v/>
      </c>
      <c r="K706">
        <f>HYPERLINK("https://raw.githubusercontent.com/marcosmapl/dataset_imigrantes/main/noticias_filtered/g1/haitianos/2021/02_mar/html/g1_fbf7fb44-22f6-11ed-b24f-6dbe51e79fca_2052.html", "HTML")</f>
        <v/>
      </c>
      <c r="L706">
        <f>HYPERLINK("https://raw.githubusercontent.com/marcosmapl/dataset_imigrantes/main/noticias_filtered/g1/haitianos/2021/02_mar/txt/g1_fbf7fb44-22f6-11ed-b24f-6dbe51e79fca_2052.txt", "TXT")</f>
        <v/>
      </c>
    </row>
    <row r="707">
      <c r="A707" s="1" t="n">
        <v>705</v>
      </c>
      <c r="B707" t="n">
        <v>2021</v>
      </c>
      <c r="C707" s="2" t="n">
        <v>44262.81987184028</v>
      </c>
      <c r="D707" t="inlineStr">
        <is>
          <t>G1</t>
        </is>
      </c>
      <c r="E707" t="inlineStr">
        <is>
          <t>VENEZUELANOS</t>
        </is>
      </c>
      <c r="F707" t="inlineStr">
        <is>
          <t>ECONOMIA</t>
        </is>
      </c>
      <c r="G707" t="inlineStr">
        <is>
          <t>RFI</t>
        </is>
      </c>
      <c r="H707" t="inlineStr">
        <is>
          <t>NOVA CÉDULA DE 1 MILHÃO DE BOLÍVARES VENEZUELANOS VALE MENOS QUE US$ 1</t>
        </is>
      </c>
      <c r="I707" t="inlineStr">
        <is>
          <t>UM QUILO DE TOMATE, OITO PÃEZINHOS, UM REFRIGERANTE DE 250 ML OU UMA BARRA DE SABÃO DE BAIXA QUALIDADE PODEM CUSTAR CERCA DE 1 MILHÃO DE BOLÍVARES.</t>
        </is>
      </c>
      <c r="J707">
        <f>HYPERLINK("https://g1.globo.com/economia/noticia/2021/03/07/nova-cedula-de-1-milhao-de-bolivares-venezuelanos-vale-menos-que-us-1.ghtml", "URL")</f>
        <v/>
      </c>
      <c r="K707">
        <f>HYPERLINK("https://raw.githubusercontent.com/marcosmapl/dataset_imigrantes/main/noticias_filtered/g1/venezuelanos/2021/02_mar/html/g1_4a115800-2312-11ed-b24f-6dbe51e79fca_2959.html", "HTML")</f>
        <v/>
      </c>
      <c r="L707">
        <f>HYPERLINK("https://raw.githubusercontent.com/marcosmapl/dataset_imigrantes/main/noticias_filtered/g1/venezuelanos/2021/02_mar/txt/g1_4a115800-2312-11ed-b24f-6dbe51e79fca_2959.txt", "TXT")</f>
        <v/>
      </c>
    </row>
    <row r="708">
      <c r="A708" s="1" t="n">
        <v>706</v>
      </c>
      <c r="B708" t="n">
        <v>2021</v>
      </c>
      <c r="C708" s="2" t="n">
        <v>44261.70315171297</v>
      </c>
      <c r="D708" t="inlineStr">
        <is>
          <t>G1</t>
        </is>
      </c>
      <c r="E708" t="inlineStr">
        <is>
          <t>AMBOS</t>
        </is>
      </c>
      <c r="F708" t="inlineStr">
        <is>
          <t>ACRE</t>
        </is>
      </c>
      <c r="G708" t="inlineStr">
        <is>
          <t>IRYÁ RODRIGUES, G1 AC — RIO BRANCO</t>
        </is>
      </c>
      <c r="H708" t="inlineStr">
        <is>
          <t>MPF AJUÍZA AÇÃO PARA GARANTIR FORNECIMENTO DE ALIMENTAÇÃO A IMIGRANTES NO AC E PREFEITO DESABAFA: ‘FALTA DE CONHECIMENTO’</t>
        </is>
      </c>
      <c r="I708" t="inlineStr">
        <is>
          <t>AÇÃO PEDE QUE UNIÃO, ESTADO DO ACRE E MUNICÍPIO DE ASSIS DE BRASIL ASSEGUREM, SOLIDARIAMENTE, REFEIÇÕES DIÁRIAS. PREFEITO DIZ QUE ASSISTÊNCIA MUNICIPAL JÁ CHEGOU A DISTRIBUIR 1,5 MIL REFEIÇÕES POR DIA AOS IMIGRANTES E QUE NÃO HÁ INFORMAÇÃO DE QUE ESTRANGEIROS TENHAM PASSADO FOME NA CIDADE.</t>
        </is>
      </c>
      <c r="J708">
        <f>HYPERLINK("https://g1.globo.com/ac/acre/noticia/2021/03/06/mpf-ajuiza-acao-para-garantir-fornecimento-de-alimentacao-a-imigrantes-no-ac-e-prefeito-desabafa-falta-de-conhecimento.ghtml", "URL")</f>
        <v/>
      </c>
      <c r="K708">
        <f>HYPERLINK("https://raw.githubusercontent.com/marcosmapl/dataset_imigrantes/main/noticias_filtered/g1/ambos/2021/02_mar/html/g1_296f50c4-2322-11ed-b24f-6dbe51e79fca_3738.html", "HTML")</f>
        <v/>
      </c>
      <c r="L708">
        <f>HYPERLINK("https://raw.githubusercontent.com/marcosmapl/dataset_imigrantes/main/noticias_filtered/g1/ambos/2021/02_mar/txt/g1_296f50c4-2322-11ed-b24f-6dbe51e79fca_3738.txt", "TXT")</f>
        <v/>
      </c>
    </row>
    <row r="709">
      <c r="A709" s="1" t="n">
        <v>707</v>
      </c>
      <c r="B709" t="n">
        <v>2021</v>
      </c>
      <c r="C709" s="2" t="n">
        <v>44261.53591966435</v>
      </c>
      <c r="D709" t="inlineStr">
        <is>
          <t>G1</t>
        </is>
      </c>
      <c r="E709" t="inlineStr">
        <is>
          <t>HAITIANOS</t>
        </is>
      </c>
      <c r="F709" t="inlineStr">
        <is>
          <t>SÃO PAULO</t>
        </is>
      </c>
      <c r="G709" t="inlineStr">
        <is>
          <t>JOSÉ CARLOS DE MORAES FILHO, G1 SP E TV GLOBO — SÃO PAULO</t>
        </is>
      </c>
      <c r="H709" t="inlineStr">
        <is>
          <t>MULHER DÁ À LUZ EM ESTAÇÃO DE TREM DA CPTM EM SÃO PAULO</t>
        </is>
      </c>
      <c r="I709" t="inlineStr">
        <is>
          <t>PASSAGEIRA HAITIANA ENTROU EM TRABALHO DE PARTO NA ESTAÇÃO TAMANDUATEÍ DA LINHA 10-TURQUESA NA NOITE DE SEXTA-FEIRA (5). ELA VOLTAVA DO HOSPITAL APÓS EXAMES DE ROTINA QUANDO A BOLSA ESTOUROU NA PLATAFORMA DE TREM. MULHER FOI AUXILIADA NO PARTO POR AGENTES DA CPTM, DO METRÔ E POLICIAIS MILITARES.</t>
        </is>
      </c>
      <c r="J709">
        <f>HYPERLINK("https://g1.globo.com/sp/sao-paulo/noticia/2021/03/06/mulher-da-a-luz-em-estacao-de-trem-da-cptm.ghtml", "URL")</f>
        <v/>
      </c>
      <c r="K709">
        <f>HYPERLINK("https://raw.githubusercontent.com/marcosmapl/dataset_imigrantes/main/noticias_filtered/g1/haitianos/2021/02_mar/html/g1_55bf5ec8-232a-11ed-b24f-6dbe51e79fca_4172.html", "HTML")</f>
        <v/>
      </c>
      <c r="L709">
        <f>HYPERLINK("https://raw.githubusercontent.com/marcosmapl/dataset_imigrantes/main/noticias_filtered/g1/haitianos/2021/02_mar/txt/g1_55bf5ec8-232a-11ed-b24f-6dbe51e79fca_4172.txt", "TXT")</f>
        <v/>
      </c>
    </row>
    <row r="710">
      <c r="A710" s="1" t="n">
        <v>708</v>
      </c>
      <c r="B710" t="n">
        <v>2021</v>
      </c>
      <c r="C710" s="2" t="n">
        <v>44260.77624115741</v>
      </c>
      <c r="D710" t="inlineStr">
        <is>
          <t>G1</t>
        </is>
      </c>
      <c r="E710" t="inlineStr">
        <is>
          <t>AMBOS</t>
        </is>
      </c>
      <c r="F710" t="inlineStr">
        <is>
          <t>ACRE</t>
        </is>
      </c>
      <c r="G710" t="inlineStr">
        <is>
          <t>IRYÁ RODRIGUES, G1 AC — RIO BRANCO</t>
        </is>
      </c>
      <c r="H710" t="inlineStr">
        <is>
          <t>IMIGRANTES COM TESTE POSITIVO PARA COVID-19 DEIXAM ABRIGO EM ASSIS BRASIL E PREFEITURA NÃO SABE DO PARADEIRO DELES</t>
        </is>
      </c>
      <c r="I710" t="inlineStr">
        <is>
          <t>SETE IMIGRANTES COM COVID-19 ESTAVAM EM ISOLAMENTO NO GINÁSIO DA CIDADE, MAS DEIXARAM LOCAL E NÃO FORAM MAIS VISTOS NEM NOS DOIS ABRIGOS DA CIDADE E NEM NA PONTE, QUE CONTINUA COM PELO MENOS 60 ESTRANGEIROS ACAMPADOS.</t>
        </is>
      </c>
      <c r="J710">
        <f>HYPERLINK("https://g1.globo.com/ac/acre/noticia/2021/03/05/imigrantes-com-teste-positivo-para-covid-19-deixam-abrigo-em-assis-brasil-e-prefeitura-nao-sabe-do-paradeiro-deles.ghtml", "URL")</f>
        <v/>
      </c>
      <c r="K710">
        <f>HYPERLINK("https://raw.githubusercontent.com/marcosmapl/dataset_imigrantes/main/noticias_filtered/g1/ambos/2021/02_mar/html/g1_08840768-2324-11ed-b24f-6dbe51e79fca_3844.html", "HTML")</f>
        <v/>
      </c>
      <c r="L710">
        <f>HYPERLINK("https://raw.githubusercontent.com/marcosmapl/dataset_imigrantes/main/noticias_filtered/g1/ambos/2021/02_mar/txt/g1_08840768-2324-11ed-b24f-6dbe51e79fca_3844.txt", "TXT")</f>
        <v/>
      </c>
    </row>
    <row r="711">
      <c r="A711" s="1" t="n">
        <v>709</v>
      </c>
      <c r="B711" t="n">
        <v>2021</v>
      </c>
      <c r="C711" s="2" t="n">
        <v>44258.67119503472</v>
      </c>
      <c r="D711" t="inlineStr">
        <is>
          <t>G1</t>
        </is>
      </c>
      <c r="E711" t="inlineStr">
        <is>
          <t>AMBOS</t>
        </is>
      </c>
      <c r="F711" t="inlineStr">
        <is>
          <t>ACRE</t>
        </is>
      </c>
      <c r="G711" t="inlineStr">
        <is>
          <t>IRYÁ RODRIGUES, G1 AC — RIO BRANCO</t>
        </is>
      </c>
      <c r="H711" t="inlineStr">
        <is>
          <t>SEM TER COMO ISOLAR IMIGRANTES COM COVID-19, PREFEITURA DE ASSIS BRASIL SUSPENDE TESTAGENS</t>
        </is>
      </c>
      <c r="I711" t="inlineStr">
        <is>
          <t>SETE IMIGRANTES QUE TESTARAM POSITIVO PARA DOENÇA ESTÃO EM ISOLAMENTO NO GINÁSIO DA CIDADE E LOCAL, SEGUNDO PREFEITURA, JÁ NÃO COMPORTA MAIS PESSOAS. OUTROS SEIS QUE ESTÃO COM TESTE POSITIVO ESTÃO EM HOTÉIS DA CIDADE POR TEREM SE RECUSADO A FICAR NO GINÁSIO.</t>
        </is>
      </c>
      <c r="J711">
        <f>HYPERLINK("https://g1.globo.com/ac/acre/noticia/2021/03/03/sem-ter-como-isolar-imigrantes-com-covid-19-prefeitura-de-assis-brasil-suspende-testagens.ghtml", "URL")</f>
        <v/>
      </c>
      <c r="K711">
        <f>HYPERLINK("https://raw.githubusercontent.com/marcosmapl/dataset_imigrantes/main/noticias_filtered/g1/ambos/2021/02_mar/html/g1_29c18886-2308-11ed-b24f-6dbe51e79fca_2369.html", "HTML")</f>
        <v/>
      </c>
      <c r="L711">
        <f>HYPERLINK("https://raw.githubusercontent.com/marcosmapl/dataset_imigrantes/main/noticias_filtered/g1/ambos/2021/02_mar/txt/g1_29c18886-2308-11ed-b24f-6dbe51e79fca_2369.txt", "TXT")</f>
        <v/>
      </c>
    </row>
    <row r="712">
      <c r="A712" s="1" t="n">
        <v>710</v>
      </c>
      <c r="B712" t="n">
        <v>2021</v>
      </c>
      <c r="C712" s="2" t="n">
        <v>44257.75986111111</v>
      </c>
      <c r="D712" t="inlineStr">
        <is>
          <t>A CRITICA</t>
        </is>
      </c>
      <c r="E712" t="inlineStr">
        <is>
          <t>VENEZUELANOS</t>
        </is>
      </c>
      <c r="F712" t="inlineStr">
        <is>
          <t>OPINIAO</t>
        </is>
      </c>
      <c r="G712" t="inlineStr">
        <is>
          <t>DULCE RODRIGUEZ</t>
        </is>
      </c>
      <c r="H712" t="inlineStr">
        <is>
          <t>PRIMEIRO ANIVERSÁRIO DO BLOG: COMO É BOM PODER AJUDAR OS OUTROS</t>
        </is>
      </c>
      <c r="I712" t="inlineStr">
        <is>
          <t>QUERO DIVIDIR ESSA DATA ESPECIAL COM TODOS VOCÊS, E DIZER-LHES O QUANTO ESTOU GRATA. COMPLETAR UM ANO NO DECORRER DA PANDEMIA É UMA VITÓRIA, DAS GRANDES!</t>
        </is>
      </c>
      <c r="J712">
        <f>HYPERLINK("https://www.acritica.com/opiniao/primeiro-aniversario-do-blog-como-e-bom-poder-ajudar-os-outros-1.215686", "URL")</f>
        <v/>
      </c>
      <c r="K712">
        <f>HYPERLINK("https://raw.githubusercontent.com/marcosmapl/dataset_imigrantes/main/noticias_filtered/a_critica/venezuelanos/2021/02_mar/html/1.215686_1361.html", "HTML")</f>
        <v/>
      </c>
      <c r="L712">
        <f>HYPERLINK("https://raw.githubusercontent.com/marcosmapl/dataset_imigrantes/main/noticias_filtered/a_critica/venezuelanos/2021/02_mar/txt/1.215686_1361.txt", "TXT")</f>
        <v/>
      </c>
    </row>
    <row r="713">
      <c r="A713" s="1" t="n">
        <v>711</v>
      </c>
      <c r="B713" t="n">
        <v>2021</v>
      </c>
      <c r="C713" s="2" t="n">
        <v>44257.58937832176</v>
      </c>
      <c r="D713" t="inlineStr">
        <is>
          <t>G1</t>
        </is>
      </c>
      <c r="E713" t="inlineStr">
        <is>
          <t>AMBOS</t>
        </is>
      </c>
      <c r="F713" t="inlineStr">
        <is>
          <t>ACRE</t>
        </is>
      </c>
      <c r="G713" t="inlineStr">
        <is>
          <t>IRYÁ RODRIGUES, G1 AC — RIO BRANCO</t>
        </is>
      </c>
      <c r="H713" t="inlineStr">
        <is>
          <t>MAIS DE 150 IMIGRANTES RETIDOS NA FRONTEIRA DO ACRE COM PERU SÃO TESTADOS PARA COVID-19 E CINCO TÊM RESULTADO POSITIVO PARA DOENÇA</t>
        </is>
      </c>
      <c r="I713" t="inlineStr">
        <is>
          <t>TESTAGEM POR AMOSTRAGEM FOI INICIADA NA QUARTA (24) E, ATÉ ESSA SEGUNDA-FEIRA (1), 155 IMIGRANTES QUE ESTÃO NOS ABRIGOS DA CIDADE DE ASSIS BRASIL FIZERAM O TESTE. OS CINCO COM RESULTADO POSITIVO FORAM COLOCADOS EM ISOLAMENTO EM OUTRO ABRIGO NO GINÁSIO DA CIDADE. PELO MENOS 70 IMIGRANTES QUE TENTAM PASSAR PARA O PERU SEGUEM ACAMPADOS NA PONTE DA INTEGRAÇÃO.</t>
        </is>
      </c>
      <c r="J713">
        <f>HYPERLINK("https://g1.globo.com/ac/acre/noticia/2021/03/02/mais-de-150-imigrantes-retidos-na-fronteira-do-acre-com-peru-sao-testados-para-covid-19-e-cinco-tem-resultado-positivo-para-doenca.ghtml", "URL")</f>
        <v/>
      </c>
      <c r="K713">
        <f>HYPERLINK("https://raw.githubusercontent.com/marcosmapl/dataset_imigrantes/main/noticias_filtered/g1/ambos/2021/02_mar/html/g1_1e9e2664-230b-11ed-b24f-6dbe51e79fca_2545.html", "HTML")</f>
        <v/>
      </c>
      <c r="L713">
        <f>HYPERLINK("https://raw.githubusercontent.com/marcosmapl/dataset_imigrantes/main/noticias_filtered/g1/ambos/2021/02_mar/txt/g1_1e9e2664-230b-11ed-b24f-6dbe51e79fca_2545.txt", "TXT")</f>
        <v/>
      </c>
    </row>
    <row r="714">
      <c r="A714" s="1" t="n">
        <v>712</v>
      </c>
      <c r="B714" t="n">
        <v>2021</v>
      </c>
      <c r="C714" s="2" t="n">
        <v>44256.70080834491</v>
      </c>
      <c r="D714" t="inlineStr">
        <is>
          <t>G1</t>
        </is>
      </c>
      <c r="E714" t="inlineStr">
        <is>
          <t>HAITIANOS</t>
        </is>
      </c>
      <c r="F714" t="inlineStr">
        <is>
          <t>ACRE</t>
        </is>
      </c>
      <c r="G714" t="inlineStr">
        <is>
          <t>JANINE BRASIL E IRYÁ RODRIGUES, G1 AC — RIO BRANCO</t>
        </is>
      </c>
      <c r="H714" t="inlineStr">
        <is>
          <t>RETIDOS NO AC SEM CONSEGUIR PASSAR PARA O PERU HÁ 15 DIAS, IMIGRANTES FAZEM PROTESTO EM FRENTE À PREFEITURA: 'ATÉ QUANDO?'</t>
        </is>
      </c>
      <c r="I714" t="inlineStr">
        <is>
          <t>CIDADE DE ASSIS BRASIL, NO INTERIOR DO ACRE, TEM MAIS DE 500 IMIGRANTES, SENDO A MAIORIA HAITIANOS, QUE TENTAM PASSAR PARA O PERU E SEGUIR VIAGEM. APÓS SE CONCENTRAR EM FRENTE À PREFEITURA DA CIDADE, GRUPO FOI ATÉ A PONTE DA INTEGRAÇÃO, ONDE TEM CERCA DE 70 IMIGRANTES ACAMPADOS DESDE O ÚLTIMO DIA 14.</t>
        </is>
      </c>
      <c r="J714">
        <f>HYPERLINK("https://g1.globo.com/ac/acre/noticia/2021/03/01/retidos-no-ac-sem-conseguir-passar-para-o-peru-ha-15-dias-imigrantes-fazem-protesto-em-frente-a-prefeitura-ate-quando.ghtml", "URL")</f>
        <v/>
      </c>
      <c r="K714">
        <f>HYPERLINK("https://raw.githubusercontent.com/marcosmapl/dataset_imigrantes/main/noticias_filtered/g1/haitianos/2021/02_mar/html/g1_f79c62b0-230f-11ed-b24f-6dbe51e79fca_2830.html", "HTML")</f>
        <v/>
      </c>
      <c r="L714">
        <f>HYPERLINK("https://raw.githubusercontent.com/marcosmapl/dataset_imigrantes/main/noticias_filtered/g1/haitianos/2021/02_mar/txt/g1_f79c62b0-230f-11ed-b24f-6dbe51e79fca_2830.txt", "TXT")</f>
        <v/>
      </c>
    </row>
    <row r="715">
      <c r="A715" s="1" t="n">
        <v>713</v>
      </c>
      <c r="B715" t="n">
        <v>2021</v>
      </c>
      <c r="C715" s="2" t="n">
        <v>44254.89590277777</v>
      </c>
      <c r="D715" t="inlineStr">
        <is>
          <t>A CRITICA</t>
        </is>
      </c>
      <c r="E715" t="inlineStr">
        <is>
          <t>VENEZUELANOS</t>
        </is>
      </c>
      <c r="F715" t="inlineStr">
        <is>
          <t>ESPORTES</t>
        </is>
      </c>
      <c r="G715" t="inlineStr">
        <is>
          <t>DANIEL PRESTES</t>
        </is>
      </c>
      <c r="H715" t="inlineStr">
        <is>
          <t>MANAUS MARCA NO FIM, BATE O FAST E GARANTE VAGA NA COPA DO BRASIL</t>
        </is>
      </c>
      <c r="I715" t="inlineStr">
        <is>
          <t>GAVIÃO AGORA VAI ENCARAR O PENAROL, QUE BATEU O SÃO RAIMUNDO, NA FINAL DA SELETIVA BAREZÃO 2020</t>
        </is>
      </c>
      <c r="J715">
        <f>HYPERLINK("https://www.acritica.com/esportes/manaus-marca-no-fim-bate-o-fast-e-garante-vaga-na-copa-do-brasil-1.21899", "URL")</f>
        <v/>
      </c>
      <c r="K715">
        <f>HYPERLINK("https://raw.githubusercontent.com/marcosmapl/dataset_imigrantes/main/noticias_filtered/a_critica/venezuelanos/2021/01_fev/html/1.21899_501.html", "HTML")</f>
        <v/>
      </c>
      <c r="L715">
        <f>HYPERLINK("https://raw.githubusercontent.com/marcosmapl/dataset_imigrantes/main/noticias_filtered/a_critica/venezuelanos/2021/01_fev/txt/1.21899_501.txt", "TXT")</f>
        <v/>
      </c>
    </row>
    <row r="716">
      <c r="A716" s="1" t="n">
        <v>714</v>
      </c>
      <c r="B716" t="n">
        <v>2021</v>
      </c>
      <c r="C716" s="2" t="n">
        <v>44254.74902030093</v>
      </c>
      <c r="D716" t="inlineStr">
        <is>
          <t>G1</t>
        </is>
      </c>
      <c r="E716" t="inlineStr">
        <is>
          <t>HAITIANOS</t>
        </is>
      </c>
      <c r="F716" t="inlineStr">
        <is>
          <t>RORAIMA</t>
        </is>
      </c>
      <c r="G716" t="inlineStr">
        <is>
          <t>G1 RR — BOA VISTA</t>
        </is>
      </c>
      <c r="H716" t="inlineStr">
        <is>
          <t>PF PRENDE TAXISTAS POR AJUDAREM IMIGRANTES A ENTRAR POR FRONTEIRA EM RR</t>
        </is>
      </c>
      <c r="I716" t="inlineStr">
        <is>
          <t>TAXISTAS TRAZIAM 27 IMIGRANTES SENDO 26 HAITIANOS E UM CUBANO. QUARTETO FOI PRESO PELO CRIME DE PROMOÇÃO DE MIGRAÇÃO ILEGAL, COM PENA DE ATÉ CINCO ANOS DE PRISÃO E MULTA. JÁ OS IMIGRANTES RECEBERAM NOTIFICAÇÃO DE DEPORTAÇÃO IMEDIATA E TÊM PRAZO DE SETE DIAS PARA SAIR DO BRASIL.</t>
        </is>
      </c>
      <c r="J716">
        <f>HYPERLINK("https://g1.globo.com/rr/roraima/noticia/2021/02/27/pf-prende-taxistas-por-ajudarem-imigrantes-da-guiana-a-entrar-ilegalmente-por-fronteira-em-rr.ghtml", "URL")</f>
        <v/>
      </c>
      <c r="K716">
        <f>HYPERLINK("https://raw.githubusercontent.com/marcosmapl/dataset_imigrantes/main/noticias_filtered/g1/haitianos/2021/01_fev/html/g1_6b6aafe8-22f3-11ed-b24f-6dbe51e79fca_1840.html", "HTML")</f>
        <v/>
      </c>
      <c r="L716">
        <f>HYPERLINK("https://raw.githubusercontent.com/marcosmapl/dataset_imigrantes/main/noticias_filtered/g1/haitianos/2021/01_fev/txt/g1_6b6aafe8-22f3-11ed-b24f-6dbe51e79fca_1840.txt", "TXT")</f>
        <v/>
      </c>
    </row>
    <row r="717">
      <c r="A717" s="1" t="n">
        <v>715</v>
      </c>
      <c r="B717" t="n">
        <v>2021</v>
      </c>
      <c r="C717" s="2" t="n">
        <v>44254.57506944444</v>
      </c>
      <c r="D717" t="inlineStr">
        <is>
          <t>A CRITICA</t>
        </is>
      </c>
      <c r="E717" t="inlineStr">
        <is>
          <t>VENEZUELANOS</t>
        </is>
      </c>
      <c r="F717" t="inlineStr">
        <is>
          <t>ESPORTES</t>
        </is>
      </c>
      <c r="G717" t="inlineStr">
        <is>
          <t>DANIEL PRESTES</t>
        </is>
      </c>
      <c r="H717" t="inlineStr">
        <is>
          <t>MANAUS E FAST FAZEM DUELO VALENDO VAGA NA FINAL DO BAREZÃO 2020</t>
        </is>
      </c>
      <c r="I717" t="inlineStr">
        <is>
          <t>CONFRONTO SERÁ NESTE SÁBADO (27), ÀS 15H30, NA ARENA DA AMAZÔNIA. EM CASO DE EMPATE NO TEMPO NORMAL, A PARTIDA SERÁ DECIDIDA NOS PÊNALTIS</t>
        </is>
      </c>
      <c r="J717">
        <f>HYPERLINK("https://www.acritica.com/esportes/manaus-e-fast-fazem-duelo-valendo-vaga-na-final-do-barez-o-2020-1.21856", "URL")</f>
        <v/>
      </c>
      <c r="K717">
        <f>HYPERLINK("https://raw.githubusercontent.com/marcosmapl/dataset_imigrantes/main/noticias_filtered/a_critica/venezuelanos/2021/01_fev/html/1.21856_256.html", "HTML")</f>
        <v/>
      </c>
      <c r="L717">
        <f>HYPERLINK("https://raw.githubusercontent.com/marcosmapl/dataset_imigrantes/main/noticias_filtered/a_critica/venezuelanos/2021/01_fev/txt/1.21856_256.txt", "TXT")</f>
        <v/>
      </c>
    </row>
    <row r="718">
      <c r="A718" s="1" t="n">
        <v>716</v>
      </c>
      <c r="B718" t="n">
        <v>2021</v>
      </c>
      <c r="C718" s="2" t="n">
        <v>44254.06133425926</v>
      </c>
      <c r="D718" t="inlineStr">
        <is>
          <t>G1</t>
        </is>
      </c>
      <c r="E718" t="inlineStr">
        <is>
          <t>AMBOS</t>
        </is>
      </c>
      <c r="F718" t="inlineStr">
        <is>
          <t>ACRE</t>
        </is>
      </c>
      <c r="G718" t="inlineStr">
        <is>
          <t>ALCINETE GADELHA, G1 AC — RIO BRANCO</t>
        </is>
      </c>
      <c r="H718" t="inlineStr">
        <is>
          <t>UNIÃO PEDE REINTEGRAÇÃO DE POSSE DE PONTE QUE FICA NA FRONTEIRA DO ACRE COM O PERU OCUPADA POR IMIGRANTES HÁ MAIS DE 10 DIAS</t>
        </is>
      </c>
      <c r="I718" t="inlineStr">
        <is>
          <t>JUSTIÇA FEDERAL PEDIU PARECER DA DPU E MPF PARA QUE SE MANIFESTEM SOBRE AÇÃO AJUIZADA PELA UNIÃO. ÓRGÃOS AINDA NÃO FORAM NOTIFICADOS.</t>
        </is>
      </c>
      <c r="J718">
        <f>HYPERLINK("https://g1.globo.com/ac/acre/noticia/2021/02/26/uniao-pede-reintegracao-de-posse-de-ponte-que-fica-na-fronteira-do-acre-com-o-peru-ocupada-por-imigrantes-ha-mais-de-10-dias.ghtml", "URL")</f>
        <v/>
      </c>
      <c r="K718">
        <f>HYPERLINK("https://raw.githubusercontent.com/marcosmapl/dataset_imigrantes/main/noticias_filtered/g1/ambos/2021/01_fev/html/g1_891c5956-231b-11ed-b24f-6dbe51e79fca_3390.html", "HTML")</f>
        <v/>
      </c>
      <c r="L718">
        <f>HYPERLINK("https://raw.githubusercontent.com/marcosmapl/dataset_imigrantes/main/noticias_filtered/g1/ambos/2021/01_fev/txt/g1_891c5956-231b-11ed-b24f-6dbe51e79fca_3390.txt", "TXT")</f>
        <v/>
      </c>
    </row>
    <row r="719">
      <c r="A719" s="1" t="n">
        <v>717</v>
      </c>
      <c r="B719" t="n">
        <v>2021</v>
      </c>
      <c r="C719" s="2" t="n">
        <v>44253.67841841435</v>
      </c>
      <c r="D719" t="inlineStr">
        <is>
          <t>G1</t>
        </is>
      </c>
      <c r="E719" t="inlineStr">
        <is>
          <t>AMBOS</t>
        </is>
      </c>
      <c r="F719" t="inlineStr">
        <is>
          <t>ACRE</t>
        </is>
      </c>
      <c r="G719" t="inlineStr">
        <is>
          <t>IRYÁ RODRIGUES, G1 AC — RIO BRANCO</t>
        </is>
      </c>
      <c r="H719" t="inlineStr">
        <is>
          <t>COM MAIS DE 300 IMIGRANTES RETIDOS NA FRONTEIRA DO ACRE COM PERU, PREFEITURA INICIA TESTAGEM PARA COVID-19</t>
        </is>
      </c>
      <c r="I719" t="inlineStr">
        <is>
          <t>TESTAGEM POR AMOSTRAGEM FOI INICIADA NA QUARTA (24) E ATÉ ESSA QUINTA 41 IMIGRANTES QUE ESTÃO NOS ABRIGOS DA CIDADE DE ASSIS BRASIL FIZERAM O TESTE E NENHUM DEU POSITIVO. MUNICÍPIO RESERVOU O GINÁSIO COBERTO PARA RECEBER CASOS POSITIVOS DA DOENÇA, MAS ATÉ O MOMENTO NÃO HÁ NENHUM IMIGRANTE NO LOCAL. PELO MENOS 60 IMIGRANTES SEGUEM ACAMPADOS NA PONTE DA INTEGRAÇÃO.</t>
        </is>
      </c>
      <c r="J719">
        <f>HYPERLINK("https://g1.globo.com/ac/acre/noticia/2021/02/26/com-mais-de-300-imigrantes-retidos-na-fronteira-do-acre-com-peru-prefeitura-inicia-testagem-para-covid-19.ghtml", "URL")</f>
        <v/>
      </c>
      <c r="K719">
        <f>HYPERLINK("https://raw.githubusercontent.com/marcosmapl/dataset_imigrantes/main/noticias_filtered/g1/ambos/2021/01_fev/html/g1_a8aa9a68-2306-11ed-b24f-6dbe51e79fca_2271.html", "HTML")</f>
        <v/>
      </c>
      <c r="L719">
        <f>HYPERLINK("https://raw.githubusercontent.com/marcosmapl/dataset_imigrantes/main/noticias_filtered/g1/ambos/2021/01_fev/txt/g1_a8aa9a68-2306-11ed-b24f-6dbe51e79fca_2271.txt", "TXT")</f>
        <v/>
      </c>
    </row>
    <row r="720">
      <c r="A720" s="1" t="n">
        <v>718</v>
      </c>
      <c r="B720" t="n">
        <v>2021</v>
      </c>
      <c r="C720" s="2" t="n">
        <v>44253.03835083333</v>
      </c>
      <c r="D720" t="inlineStr">
        <is>
          <t>G1</t>
        </is>
      </c>
      <c r="E720" t="inlineStr">
        <is>
          <t>HAITIANOS</t>
        </is>
      </c>
      <c r="F720" t="inlineStr">
        <is>
          <t>MUNDO</t>
        </is>
      </c>
      <c r="G720" t="inlineStr">
        <is>
          <t>FRANCE PRESSE</t>
        </is>
      </c>
      <c r="H720" t="inlineStr">
        <is>
          <t>FUGA DE PRESOS NO HAITI DEIXA MORTOS, INCLUINDO DIRETOR DA PRISÃO</t>
        </is>
      </c>
      <c r="I720" t="inlineStr">
        <is>
          <t>INSPETOR PAUL HECTOR JOSEPH, QUE ERA ENCARREGADO DA PENITENCIÁRIA DE CROIX-DES-BOUQUETS, FOI ASSASSINADO DENTRO DO LOCAL.</t>
        </is>
      </c>
      <c r="J720">
        <f>HYPERLINK("https://g1.globo.com/mundo/noticia/2021/02/25/fuga-de-presos-no-haiti-deixa-mortos-mortos-incluindo-diretor-da-prisao.ghtml", "URL")</f>
        <v/>
      </c>
      <c r="K720">
        <f>HYPERLINK("https://raw.githubusercontent.com/marcosmapl/dataset_imigrantes/main/noticias_filtered/g1/haitianos/2021/01_fev/html/g1_9abb2340-22ee-11ed-b24f-6dbe51e79fca_1705.html", "HTML")</f>
        <v/>
      </c>
      <c r="L720">
        <f>HYPERLINK("https://raw.githubusercontent.com/marcosmapl/dataset_imigrantes/main/noticias_filtered/g1/haitianos/2021/01_fev/txt/g1_9abb2340-22ee-11ed-b24f-6dbe51e79fca_1705.txt", "TXT")</f>
        <v/>
      </c>
    </row>
    <row r="721">
      <c r="A721" s="1" t="n">
        <v>719</v>
      </c>
      <c r="B721" t="n">
        <v>2021</v>
      </c>
      <c r="C721" s="2" t="n">
        <v>44253.00632365741</v>
      </c>
      <c r="D721" t="inlineStr">
        <is>
          <t>G1</t>
        </is>
      </c>
      <c r="E721" t="inlineStr">
        <is>
          <t>VENEZUELANOS</t>
        </is>
      </c>
      <c r="F721" t="inlineStr">
        <is>
          <t>CEARÁ</t>
        </is>
      </c>
      <c r="G721" t="inlineStr">
        <is>
          <t>SAMUEL PINUSA E WANDENBERG BELÉM, G1 CE</t>
        </is>
      </c>
      <c r="H721" t="inlineStr">
        <is>
          <t>FAMÍLIAS VENEZUELANAS SE ABRIGAM EM IGUATU, NO INTERIOR DO CEARÁ, E SÃO MONITORADAS PARA COVID-19</t>
        </is>
      </c>
      <c r="I721" t="inlineStr">
        <is>
          <t>AO TODO, SÃO 33 IMIGRANTES QUE CHEGARAM AO MUNICÍPIO NOS ÚLTIMOS DIAS. ELES FORAM TESTADOS PARA COVID-19 POR PRECAUÇÃO.</t>
        </is>
      </c>
      <c r="J721">
        <f>HYPERLINK("https://g1.globo.com/ce/ceara/noticia/2021/02/25/familias-venezuelanas-se-abrigam-em-iguatu-no-interior-do-ceara.ghtml", "URL")</f>
        <v/>
      </c>
      <c r="K721">
        <f>HYPERLINK("https://raw.githubusercontent.com/marcosmapl/dataset_imigrantes/main/noticias_filtered/g1/venezuelanos/2021/01_fev/html/g1_0eb5705a-232d-11ed-b24f-6dbe51e79fca_4340.html", "HTML")</f>
        <v/>
      </c>
      <c r="L721">
        <f>HYPERLINK("https://raw.githubusercontent.com/marcosmapl/dataset_imigrantes/main/noticias_filtered/g1/venezuelanos/2021/01_fev/txt/g1_0eb5705a-232d-11ed-b24f-6dbe51e79fca_4340.txt", "TXT")</f>
        <v/>
      </c>
    </row>
    <row r="722">
      <c r="A722" s="1" t="n">
        <v>720</v>
      </c>
      <c r="B722" t="n">
        <v>2021</v>
      </c>
      <c r="C722" s="2" t="n">
        <v>44252.56006305556</v>
      </c>
      <c r="D722" t="inlineStr">
        <is>
          <t>G1</t>
        </is>
      </c>
      <c r="E722" t="inlineStr">
        <is>
          <t>AMBOS</t>
        </is>
      </c>
      <c r="F722" t="inlineStr">
        <is>
          <t>ACRE</t>
        </is>
      </c>
      <c r="G722" t="inlineStr">
        <is>
          <t>IRYÁ RODRIGUES, G1 AC — RIO BRANCO</t>
        </is>
      </c>
      <c r="H722" t="inlineStr">
        <is>
          <t>APÓS MAIS DE 10 DIAS, CERCA DE 40 IMIGRANTES BARRADOS NA FRONTEIRA DO AC COM PERU SEGUEM ACAMPADOS EM PONTE</t>
        </is>
      </c>
      <c r="I722" t="inlineStr">
        <is>
          <t>OUTROS MAIS DE 300 ESTÃO NOS DOIS ABRIGOS MONTADOS EM ESCOLAS DA CIDADE. PREFEITO DIZ QUE SITUAÇÃO ESTÁ CADA VEZ PIOR, UMA VEZ QUE EQUIPES DE ASSISTÊNCIA ESTÃO CANSADAS E PEDE INTERVENÇÃO DO GOVERNO FEDERAL. PREFEITURA INICIOU TESTAGEM DE IMIGRANTES PARA COVID-19, MAS NÃO TEM AINDA CASOS POSITIVOS.</t>
        </is>
      </c>
      <c r="J722">
        <f>HYPERLINK("https://g1.globo.com/ac/acre/noticia/2021/02/25/apos-mais-de-10-dias-cerca-de-40-imigrantes-barrados-na-fronteira-do-ac-com-peru-seguem-acampados-em-ponte.ghtml", "URL")</f>
        <v/>
      </c>
      <c r="K722">
        <f>HYPERLINK("https://raw.githubusercontent.com/marcosmapl/dataset_imigrantes/main/noticias_filtered/g1/ambos/2021/01_fev/html/g1_d40fbec2-231f-11ed-b24f-6dbe51e79fca_3646.html", "HTML")</f>
        <v/>
      </c>
      <c r="L722">
        <f>HYPERLINK("https://raw.githubusercontent.com/marcosmapl/dataset_imigrantes/main/noticias_filtered/g1/ambos/2021/01_fev/txt/g1_d40fbec2-231f-11ed-b24f-6dbe51e79fca_3646.txt", "TXT")</f>
        <v/>
      </c>
    </row>
    <row r="723">
      <c r="A723" s="1" t="n">
        <v>721</v>
      </c>
      <c r="B723" t="n">
        <v>2021</v>
      </c>
      <c r="C723" s="2" t="n">
        <v>44252.54098233796</v>
      </c>
      <c r="D723" t="inlineStr">
        <is>
          <t>G1</t>
        </is>
      </c>
      <c r="E723" t="inlineStr">
        <is>
          <t>VENEZUELANOS</t>
        </is>
      </c>
      <c r="F723" t="inlineStr">
        <is>
          <t>SANTARÉM E REGIÃO</t>
        </is>
      </c>
      <c r="G723" t="inlineStr">
        <is>
          <t>G1 SANTARÉM — PA</t>
        </is>
      </c>
      <c r="H723" t="inlineStr">
        <is>
          <t>VENEZUELANOS INDÍGENAS DA ETNIA WARAO PARTICIPAM DE 2ª EDIÇÃO DO PROJETO 'EM BUSCA DE UM FUTURO MELHOR'</t>
        </is>
      </c>
      <c r="I723" t="inlineStr">
        <is>
          <t>NESSA SEGUNDA EDIÇÃO FORAM REALIZADAS TRÊS OFICINAS DE EDUCAÇÃO FINANCEIRA, QUE OCORRERAM EM JANEIRO E FEVEREIRO DESTE ANO.</t>
        </is>
      </c>
      <c r="J723">
        <f>HYPERLINK("https://g1.globo.com/pa/santarem-regiao/noticia/2021/02/25/venezuelanos-indigenas-da-etnia-warao-participam-de-2a-edicao-do-projeto-em-busca-de-um-futuro-melhor.ghtml", "URL")</f>
        <v/>
      </c>
      <c r="K723">
        <f>HYPERLINK("https://raw.githubusercontent.com/marcosmapl/dataset_imigrantes/main/noticias_filtered/g1/venezuelanos/2021/01_fev/html/g1_19d7f6dc-231f-11ed-b24f-6dbe51e79fca_3601.html", "HTML")</f>
        <v/>
      </c>
      <c r="L723">
        <f>HYPERLINK("https://raw.githubusercontent.com/marcosmapl/dataset_imigrantes/main/noticias_filtered/g1/venezuelanos/2021/01_fev/txt/g1_19d7f6dc-231f-11ed-b24f-6dbe51e79fca_3601.txt", "TXT")</f>
        <v/>
      </c>
    </row>
    <row r="724">
      <c r="A724" s="1" t="n">
        <v>722</v>
      </c>
      <c r="B724" t="n">
        <v>2021</v>
      </c>
      <c r="C724" s="2" t="n">
        <v>44251.94470777778</v>
      </c>
      <c r="D724" t="inlineStr">
        <is>
          <t>G1</t>
        </is>
      </c>
      <c r="E724" t="inlineStr">
        <is>
          <t>AMBOS</t>
        </is>
      </c>
      <c r="F724" t="inlineStr">
        <is>
          <t>ACRE</t>
        </is>
      </c>
      <c r="G724" t="inlineStr">
        <is>
          <t>JANINE BRASIL, G1 AC — RIO BRANCO</t>
        </is>
      </c>
      <c r="H724" t="inlineStr">
        <is>
          <t>COM PONTE OCUPADA POR IMIGRANTES, CAMINHONEIROS PROTESTAM E TEMEM PERDER CARGA COM ALIMENTOS NA FRONTEIRA DO AC COM O PERU</t>
        </is>
      </c>
      <c r="I724" t="inlineStr">
        <is>
          <t>CAMINHONEIROS FIZERAM PROTESTO EM ASSIS BRASIL, NA FRONTEIRA DO ACRE COM O PERU, PARA CONSEGUIR PASSAR COM CARGAS PARA O LADO PERUANO. GRUPO DE IMIGRANTES OCUPA PONTE DA UNIÃO NA TENTATIVA DE CONSEGUIR SAIR DO BRASIL.</t>
        </is>
      </c>
      <c r="J724">
        <f>HYPERLINK("https://g1.globo.com/ac/acre/noticia/2021/02/24/com-ponte-ocupada-por-imigrantes-caminhoneiros-protestam-e-temem-perder-carga-com-alimentos-na-fronteira-do-ac-com-o-peru.ghtml", "URL")</f>
        <v/>
      </c>
      <c r="K724">
        <f>HYPERLINK("https://raw.githubusercontent.com/marcosmapl/dataset_imigrantes/main/noticias_filtered/g1/ambos/2021/01_fev/html/g1_b36673ae-2325-11ed-b24f-6dbe51e79fca_3929.html", "HTML")</f>
        <v/>
      </c>
      <c r="L724">
        <f>HYPERLINK("https://raw.githubusercontent.com/marcosmapl/dataset_imigrantes/main/noticias_filtered/g1/ambos/2021/01_fev/txt/g1_b36673ae-2325-11ed-b24f-6dbe51e79fca_3929.txt", "TXT")</f>
        <v/>
      </c>
    </row>
    <row r="725">
      <c r="A725" s="1" t="n">
        <v>723</v>
      </c>
      <c r="B725" t="n">
        <v>2021</v>
      </c>
      <c r="C725" s="2" t="n">
        <v>44251.82777777778</v>
      </c>
      <c r="D725" t="inlineStr">
        <is>
          <t>A CRITICA</t>
        </is>
      </c>
      <c r="E725" t="inlineStr">
        <is>
          <t>VENEZUELANOS</t>
        </is>
      </c>
      <c r="F725" t="inlineStr">
        <is>
          <t>OPINIAO</t>
        </is>
      </c>
      <c r="G725" t="inlineStr">
        <is>
          <t>DULCE RODRIGUEZ</t>
        </is>
      </c>
      <c r="H725" t="inlineStr">
        <is>
          <t>VENEZUELANOS EM MANAUS: APÓS UM ANO DE PANDEMIA, MAIS UM RECOMEÇO</t>
        </is>
      </c>
      <c r="I725" t="inlineStr">
        <is>
          <t>A ASSISTÊNCIA EMERGENCIAL NECESSITARIA INCLUIR UM EMPREGO PARA QUE CONSIGAM SE ALIMENTAR E RECONSTRUIR A VIDA NO BRASIL</t>
        </is>
      </c>
      <c r="J725">
        <f>HYPERLINK("https://www.acritica.com/opiniao/venezuelanos-em-manaus-apos-um-ano-de-pandemia-mais-um-recomeco-1.215694", "URL")</f>
        <v/>
      </c>
      <c r="K725">
        <f>HYPERLINK("https://raw.githubusercontent.com/marcosmapl/dataset_imigrantes/main/noticias_filtered/a_critica/venezuelanos/2021/01_fev/html/1.215694_310.html", "HTML")</f>
        <v/>
      </c>
      <c r="L725">
        <f>HYPERLINK("https://raw.githubusercontent.com/marcosmapl/dataset_imigrantes/main/noticias_filtered/a_critica/venezuelanos/2021/01_fev/txt/1.215694_310.txt", "TXT")</f>
        <v/>
      </c>
    </row>
    <row r="726">
      <c r="A726" s="1" t="n">
        <v>724</v>
      </c>
      <c r="B726" t="n">
        <v>2021</v>
      </c>
      <c r="C726" s="2" t="n">
        <v>44251.51947916667</v>
      </c>
      <c r="D726" t="inlineStr">
        <is>
          <t>A CRITICA</t>
        </is>
      </c>
      <c r="E726" t="inlineStr">
        <is>
          <t>VENEZUELANOS</t>
        </is>
      </c>
      <c r="F726" t="inlineStr"/>
      <c r="G726" t="inlineStr">
        <is>
          <t>PORTAL A CRÍTICA</t>
        </is>
      </c>
      <c r="H726" t="inlineStr">
        <is>
          <t>GRUPO DESAPARECE NO TRAJETO ENTRE TABATINGA E MANAUS</t>
        </is>
      </c>
      <c r="I726" t="inlineStr">
        <is>
          <t>ENTRE OS DESAPARECIDOS ESTÃO TRÊS COLOMBIANOS, DOIS BRASILEIROS E UMA VENEZUELANA</t>
        </is>
      </c>
      <c r="J726">
        <f>HYPERLINK("https://www.acritica.com/grupo-desaparece-no-trajeto-entre-tabatinga-e-manaus-1.22046", "URL")</f>
        <v/>
      </c>
      <c r="K726">
        <f>HYPERLINK("https://raw.githubusercontent.com/marcosmapl/dataset_imigrantes/main/noticias_filtered/a_critica/venezuelanos/2021/01_fev/html/1.22046_529.html", "HTML")</f>
        <v/>
      </c>
      <c r="L726">
        <f>HYPERLINK("https://raw.githubusercontent.com/marcosmapl/dataset_imigrantes/main/noticias_filtered/a_critica/venezuelanos/2021/01_fev/txt/1.22046_529.txt", "TXT")</f>
        <v/>
      </c>
    </row>
    <row r="727">
      <c r="A727" s="1" t="n">
        <v>725</v>
      </c>
      <c r="B727" t="n">
        <v>2021</v>
      </c>
      <c r="C727" s="2" t="n">
        <v>44250.92154157408</v>
      </c>
      <c r="D727" t="inlineStr">
        <is>
          <t>G1</t>
        </is>
      </c>
      <c r="E727" t="inlineStr">
        <is>
          <t>AMBOS</t>
        </is>
      </c>
      <c r="F727" t="inlineStr">
        <is>
          <t>ACRE</t>
        </is>
      </c>
      <c r="G727" t="inlineStr">
        <is>
          <t>TÁCITA MUNIZ, G1 AC — RIO BRANCO</t>
        </is>
      </c>
      <c r="H727" t="inlineStr">
        <is>
          <t>IMIGRANTES RETIDOS NA FRONTEIRA DO AC SE REÚNEM COM LÍDERES RELIGIOSOS E PEDEM AJUDA PARA SAIR DO BRASIL</t>
        </is>
      </c>
      <c r="I727" t="inlineStr">
        <is>
          <t>BISPO DOM DAVID VICARIATO, DE PUERTO MALDONADO, ENVIOU CARTA AO GOVERNO PERUANO PEDINDO QUE DEIXASSE O GRUPO PASSAR E EVITASSE UM ‘CONFLITO SOCIAL GRAVE’.</t>
        </is>
      </c>
      <c r="J727">
        <f>HYPERLINK("https://g1.globo.com/ac/acre/noticia/2021/02/23/imigrantes-retidos-na-fronteira-do-ac-se-reunem-com-lideres-religiosos-e-pedem-ajuda-para-sair-do-brasil.ghtml", "URL")</f>
        <v/>
      </c>
      <c r="K727">
        <f>HYPERLINK("https://raw.githubusercontent.com/marcosmapl/dataset_imigrantes/main/noticias_filtered/g1/ambos/2021/01_fev/html/g1_396531ca-2321-11ed-b24f-6dbe51e79fca_3686.html", "HTML")</f>
        <v/>
      </c>
      <c r="L727">
        <f>HYPERLINK("https://raw.githubusercontent.com/marcosmapl/dataset_imigrantes/main/noticias_filtered/g1/ambos/2021/01_fev/txt/g1_396531ca-2321-11ed-b24f-6dbe51e79fca_3686.txt", "TXT")</f>
        <v/>
      </c>
    </row>
    <row r="728">
      <c r="A728" s="1" t="n">
        <v>726</v>
      </c>
      <c r="B728" t="n">
        <v>2021</v>
      </c>
      <c r="C728" s="2" t="n">
        <v>44250.77548657407</v>
      </c>
      <c r="D728" t="inlineStr">
        <is>
          <t>G1</t>
        </is>
      </c>
      <c r="E728" t="inlineStr">
        <is>
          <t>VENEZUELANOS</t>
        </is>
      </c>
      <c r="F728" t="inlineStr">
        <is>
          <t>GOIÁS</t>
        </is>
      </c>
      <c r="G728" t="inlineStr">
        <is>
          <t>VANESSA CHAVES, G1 GO</t>
        </is>
      </c>
      <c r="H728" t="inlineStr">
        <is>
          <t>DOIS COLOMBIANOS E UM VENEZUELANO SÃO PRESOS SUSPEITOS DE FURTAR MAIS DE R$ 1 MILHÃO EM SHOPPINGS DO PIAUÍ E MARANHÃO</t>
        </is>
      </c>
      <c r="I728" t="inlineStr">
        <is>
          <t>ABORDADO EM GOIÁS, TRIO ESTAVA EM CARRO ALUGADO COM DOCUMENTO FALSO, COM DESTINO A SÃO PAULO. SEGUNDO A PRF, ELES FURTARAM UMA JOALHERIA E UMA LOJA DE CELULAR EM CADA UM DOS CENTROS DE COMPRAS.</t>
        </is>
      </c>
      <c r="J728">
        <f>HYPERLINK("https://g1.globo.com/go/goias/noticia/2021/02/23/dois-colombianos-e-um-venezuelano-sao-presos-suspeitos-de-furtar-mais-de-r-1-milhao-em-shoppings-do-piaui-e-maranhao.ghtml", "URL")</f>
        <v/>
      </c>
      <c r="K728">
        <f>HYPERLINK("https://raw.githubusercontent.com/marcosmapl/dataset_imigrantes/main/noticias_filtered/g1/venezuelanos/2021/01_fev/html/g1_2259d0aa-2329-11ed-b24f-6dbe51e79fca_4100.html", "HTML")</f>
        <v/>
      </c>
      <c r="L728">
        <f>HYPERLINK("https://raw.githubusercontent.com/marcosmapl/dataset_imigrantes/main/noticias_filtered/g1/venezuelanos/2021/01_fev/txt/g1_2259d0aa-2329-11ed-b24f-6dbe51e79fca_4100.txt", "TXT")</f>
        <v/>
      </c>
    </row>
    <row r="729">
      <c r="A729" s="1" t="n">
        <v>727</v>
      </c>
      <c r="B729" t="n">
        <v>2021</v>
      </c>
      <c r="C729" s="2" t="n">
        <v>44250.70397002315</v>
      </c>
      <c r="D729" t="inlineStr">
        <is>
          <t>G1</t>
        </is>
      </c>
      <c r="E729" t="inlineStr">
        <is>
          <t>AMBOS</t>
        </is>
      </c>
      <c r="F729" t="inlineStr">
        <is>
          <t>ACRE</t>
        </is>
      </c>
      <c r="G729" t="inlineStr">
        <is>
          <t>IRYÁ RODRIGUES, G1 AC — RIO BRANCO</t>
        </is>
      </c>
      <c r="H729" t="inlineStr">
        <is>
          <t>SEM CONSEGUIR PASSAR PARA O PERU, IMIGRANTES RETIDOS NO ACRE TENTAM ROTA ALTERNATIVA PARA CHEGAR NA BOLÍVIA</t>
        </is>
      </c>
      <c r="I729" t="inlineStr">
        <is>
          <t>GRUPO DE MAIS DE 40 PESSOAS ALUGOU ÔNIBUS PARA PODER CHEGAR EM LA PAZ, SAINDO PELA FRONTEIRA DO ACRE COM A BOLÍVIA, MAS A POLÍCIA DO PAÍS VIZINHO BARROU A ENTRADA E MANDOU OS IMIGRANTES DE VOLTA. PREFEITURA BRASILEIA, QUE FAZ FRONTEIRA COM BOLÍVIA, DIZ QUE PERCEBEU AUMENTO NO FLUXO DE IMIGRANTES NOS ÚLTIMOS DOIS DIAS E QUE CONTABILIZA NÚMERO DE PESSOAS.</t>
        </is>
      </c>
      <c r="J729">
        <f>HYPERLINK("https://g1.globo.com/ac/acre/noticia/2021/02/23/sem-conseguir-passar-para-o-peru-imigrantes-retidos-no-acre-tentam-rota-alternativa-para-chegar-na-bolivia.ghtml", "URL")</f>
        <v/>
      </c>
      <c r="K729">
        <f>HYPERLINK("https://raw.githubusercontent.com/marcosmapl/dataset_imigrantes/main/noticias_filtered/g1/ambos/2021/01_fev/html/g1_c60d6adc-231e-11ed-b24f-6dbe51e79fca_3584.html", "HTML")</f>
        <v/>
      </c>
      <c r="L729">
        <f>HYPERLINK("https://raw.githubusercontent.com/marcosmapl/dataset_imigrantes/main/noticias_filtered/g1/ambos/2021/01_fev/txt/g1_c60d6adc-231e-11ed-b24f-6dbe51e79fca_3584.txt", "TXT")</f>
        <v/>
      </c>
    </row>
    <row r="730">
      <c r="A730" s="1" t="n">
        <v>728</v>
      </c>
      <c r="B730" t="n">
        <v>2021</v>
      </c>
      <c r="C730" s="2" t="n">
        <v>44250.55818409722</v>
      </c>
      <c r="D730" t="inlineStr">
        <is>
          <t>G1</t>
        </is>
      </c>
      <c r="E730" t="inlineStr">
        <is>
          <t>AMBOS</t>
        </is>
      </c>
      <c r="F730" t="inlineStr">
        <is>
          <t>ACRE</t>
        </is>
      </c>
      <c r="G730" t="inlineStr">
        <is>
          <t>IRYÁ RODRIGUES, G1 AC — RIO BRANCO</t>
        </is>
      </c>
      <c r="H730" t="inlineStr">
        <is>
          <t>GRUPO DE 20 IMIGRANTES CHEGA AO AC TENTANDO PASSAR PARA O PERU E MAIS DE 300 SEGUEM RETIDOS NA FRONTEIRA</t>
        </is>
      </c>
      <c r="I730" t="inlineStr">
        <is>
          <t>GRUPO ESTAVA EM CINCO TÁXIS QUE CHEGARAM À CIDADE NESSA SEGUNDA-FEIRA (22), SEGUNDO PREFEITO. COORDENADOR DO GEFRON, QUE FAZ O POLICIAMENTO NA REGIÃO DE FRONTEIRA, DIZ QUE CHEGADA TEM SIDO PRATICAMENTE DIÁRIA E QUE IMIGRANTES TENTAM ROTAS ALTERNATIVAS PELA BOLÍVIA, MAS TAMBÉM ESTÃO SENDO IMPEDIDOS DE ENTRAR NO PAÍS VIZINHO.</t>
        </is>
      </c>
      <c r="J730">
        <f>HYPERLINK("https://g1.globo.com/ac/acre/noticia/2021/02/23/grupo-de-20-imigrantes-chega-ao-ac-tentando-passar-para-o-peru-e-mais-de-300-seguem-retidos-na-fronteira.ghtml", "URL")</f>
        <v/>
      </c>
      <c r="K730">
        <f>HYPERLINK("https://raw.githubusercontent.com/marcosmapl/dataset_imigrantes/main/noticias_filtered/g1/ambos/2021/01_fev/html/g1_1bf7adb4-2319-11ed-b24f-6dbe51e79fca_3299.html", "HTML")</f>
        <v/>
      </c>
      <c r="L730">
        <f>HYPERLINK("https://raw.githubusercontent.com/marcosmapl/dataset_imigrantes/main/noticias_filtered/g1/ambos/2021/01_fev/txt/g1_1bf7adb4-2319-11ed-b24f-6dbe51e79fca_3299.txt", "TXT")</f>
        <v/>
      </c>
    </row>
    <row r="731">
      <c r="A731" s="1" t="n">
        <v>729</v>
      </c>
      <c r="B731" t="n">
        <v>2021</v>
      </c>
      <c r="C731" s="2" t="n">
        <v>44248.8455787037</v>
      </c>
      <c r="D731" t="inlineStr">
        <is>
          <t>A CRITICA</t>
        </is>
      </c>
      <c r="E731" t="inlineStr">
        <is>
          <t>HAITIANOS</t>
        </is>
      </c>
      <c r="F731" t="inlineStr"/>
      <c r="G731" t="inlineStr">
        <is>
          <t>AGÊNCIA BRASIL</t>
        </is>
      </c>
      <c r="H731" t="inlineStr">
        <is>
          <t>ACRE CONTINUA A SOFRER COM CHEIAS, DENGUE E COVID-19</t>
        </is>
      </c>
      <c r="I731" t="inlineStr">
        <is>
          <t>ESTADO ESTÁ EM SITUAÇÃO DE EMERGÊNCIA DESDE A ÚLTIMA TERÇA-FEIRA</t>
        </is>
      </c>
      <c r="J731">
        <f>HYPERLINK("https://www.acritica.com/acre-continua-a-sofrer-com-cheias-dengue-e-covid-19-1.22038", "URL")</f>
        <v/>
      </c>
      <c r="K731">
        <f>HYPERLINK("https://raw.githubusercontent.com/marcosmapl/dataset_imigrantes/main/noticias_filtered/a_critica/haitianos/2021/01_fev/html/1.22038_1292.html", "HTML")</f>
        <v/>
      </c>
      <c r="L731">
        <f>HYPERLINK("https://raw.githubusercontent.com/marcosmapl/dataset_imigrantes/main/noticias_filtered/a_critica/haitianos/2021/01_fev/txt/1.22038_1292.txt", "TXT")</f>
        <v/>
      </c>
    </row>
    <row r="732">
      <c r="A732" s="1" t="n">
        <v>730</v>
      </c>
      <c r="B732" t="n">
        <v>2021</v>
      </c>
      <c r="C732" s="2" t="n">
        <v>44248.81753096064</v>
      </c>
      <c r="D732" t="inlineStr">
        <is>
          <t>G1</t>
        </is>
      </c>
      <c r="E732" t="inlineStr">
        <is>
          <t>AMBOS</t>
        </is>
      </c>
      <c r="F732" t="inlineStr">
        <is>
          <t>ACRE</t>
        </is>
      </c>
      <c r="G732" t="inlineStr">
        <is>
          <t>ALCINETE GADELHA, G1 AC — RIO BRANCO</t>
        </is>
      </c>
      <c r="H732" t="inlineStr">
        <is>
          <t>MAIS DE 200 IMIGRANTES RETIDOS NA FRONTEIRA DO ACRE E PERU DEVEM FAZER TESTES PARA COVID-19</t>
        </is>
      </c>
      <c r="I732" t="inlineStr">
        <is>
          <t>SECRETARIA ESTADUAL DE SAÚDE DISPONIBILIZOU 600 TESTES QUE DEVEM SER REPASSADOS AO MUNICÍPIO QUANDO APRESENTAR PLANO DE VACINAÇÃO.</t>
        </is>
      </c>
      <c r="J732">
        <f>HYPERLINK("https://g1.globo.com/ac/acre/noticia/2021/02/21/mais-de-200-imigrantes-retidos-na-fronteira-do-acre-e-peru-devem-fazer-testes-para-covid-19.ghtml", "URL")</f>
        <v/>
      </c>
      <c r="K732">
        <f>HYPERLINK("https://raw.githubusercontent.com/marcosmapl/dataset_imigrantes/main/noticias_filtered/g1/ambos/2021/01_fev/html/g1_f5e90ede-2317-11ed-b24f-6dbe51e79fca_3236.html", "HTML")</f>
        <v/>
      </c>
      <c r="L732">
        <f>HYPERLINK("https://raw.githubusercontent.com/marcosmapl/dataset_imigrantes/main/noticias_filtered/g1/ambos/2021/01_fev/txt/g1_f5e90ede-2317-11ed-b24f-6dbe51e79fca_3236.txt", "TXT")</f>
        <v/>
      </c>
    </row>
    <row r="733">
      <c r="A733" s="1" t="n">
        <v>731</v>
      </c>
      <c r="B733" t="n">
        <v>2021</v>
      </c>
      <c r="C733" s="2" t="n">
        <v>44248.753153125</v>
      </c>
      <c r="D733" t="inlineStr">
        <is>
          <t>G1</t>
        </is>
      </c>
      <c r="E733" t="inlineStr">
        <is>
          <t>HAITIANOS</t>
        </is>
      </c>
      <c r="F733" t="inlineStr">
        <is>
          <t>RONDÔNIA</t>
        </is>
      </c>
      <c r="G733" t="inlineStr">
        <is>
          <t>G1 RO — PORTO VELHO</t>
        </is>
      </c>
      <c r="H733" t="inlineStr">
        <is>
          <t>HAITIANO É MORTO COM TIRO EM FEIRA DE PORTO VELHO; SUSPEITOS FORAM PRESOS MINUTOS DEPOIS</t>
        </is>
      </c>
      <c r="I733" t="inlineStr">
        <is>
          <t>FLANELINHA DE 20 ANOS ASSUMIU A AUTORIA DO CRIME, SEGUNDO A POLÍCIA. MOTIVAÇÃO DO CRIME SERIA UM SUPOSTO TAPA DESFERIDO PELA VÍTIMA CONTRA O SUSPEITO UMA SEMANA ANTES DO HOMICÍDIO.</t>
        </is>
      </c>
      <c r="J733">
        <f>HYPERLINK("https://g1.globo.com/ro/rondonia/noticia/2021/02/21/haitiano-e-morto-com-tiro-em-feira-de-porto-velho-suspeitos-foram-presos-minutos-depois.ghtml", "URL")</f>
        <v/>
      </c>
      <c r="K733">
        <f>HYPERLINK("https://raw.githubusercontent.com/marcosmapl/dataset_imigrantes/main/noticias_filtered/g1/haitianos/2021/01_fev/html/g1_44b6edd8-22fa-11ed-b24f-6dbe51e79fca_2209.html", "HTML")</f>
        <v/>
      </c>
      <c r="L733">
        <f>HYPERLINK("https://raw.githubusercontent.com/marcosmapl/dataset_imigrantes/main/noticias_filtered/g1/haitianos/2021/01_fev/txt/g1_44b6edd8-22fa-11ed-b24f-6dbe51e79fca_2209.txt", "TXT")</f>
        <v/>
      </c>
    </row>
    <row r="734">
      <c r="A734" s="1" t="n">
        <v>732</v>
      </c>
      <c r="B734" t="n">
        <v>2021</v>
      </c>
      <c r="C734" s="2" t="n">
        <v>44246.52824074074</v>
      </c>
      <c r="D734" t="inlineStr">
        <is>
          <t>A CRITICA</t>
        </is>
      </c>
      <c r="E734" t="inlineStr">
        <is>
          <t>VENEZUELANOS</t>
        </is>
      </c>
      <c r="F734" t="inlineStr">
        <is>
          <t>SAUDE</t>
        </is>
      </c>
      <c r="G734" t="inlineStr">
        <is>
          <t>PORTAL A CRÍTICA</t>
        </is>
      </c>
      <c r="H734" t="inlineStr">
        <is>
          <t>PREFEITURA REALIZA AÇÃO DE MONITORAMENTO DE COVID-19 PARA IMIGRANTES</t>
        </is>
      </c>
      <c r="I734" t="inlineStr">
        <is>
          <t>AÇÃO ACONTECEU NAS IMEDIAÇÕES DO TERMINAL RODOVIÁRIO DE MANAUS</t>
        </is>
      </c>
      <c r="J734">
        <f>HYPERLINK("https://www.acritica.com/saude/prefeitura-realiza-ac-o-de-monitoramento-de-covid-19-para-imigrantes-1.22962", "URL")</f>
        <v/>
      </c>
      <c r="K734">
        <f>HYPERLINK("https://raw.githubusercontent.com/marcosmapl/dataset_imigrantes/main/noticias_filtered/a_critica/venezuelanos/2021/01_fev/html/1.22962_1163.html", "HTML")</f>
        <v/>
      </c>
      <c r="L734">
        <f>HYPERLINK("https://raw.githubusercontent.com/marcosmapl/dataset_imigrantes/main/noticias_filtered/a_critica/venezuelanos/2021/01_fev/txt/1.22962_1163.txt", "TXT")</f>
        <v/>
      </c>
    </row>
    <row r="735">
      <c r="A735" s="1" t="n">
        <v>733</v>
      </c>
      <c r="B735" t="n">
        <v>2021</v>
      </c>
      <c r="C735" s="2" t="n">
        <v>44245.58816782408</v>
      </c>
      <c r="D735" t="inlineStr">
        <is>
          <t>G1</t>
        </is>
      </c>
      <c r="E735" t="inlineStr">
        <is>
          <t>AMBOS</t>
        </is>
      </c>
      <c r="F735" t="inlineStr">
        <is>
          <t>ACRE</t>
        </is>
      </c>
      <c r="G735" t="inlineStr">
        <is>
          <t>TÁCITA MUNIZ, G1 ACRE — RIO BRANCO</t>
        </is>
      </c>
      <c r="H735" t="inlineStr">
        <is>
          <t>MAIS 50 IMIGRANTES CHEGAM A ASSIS BRASIL; PARA PREFEITO, CIDADE 'NÃO TEM CAPACIDADE DE ATENDER TANTA GENTE'</t>
        </is>
      </c>
      <c r="I735" t="inlineStr">
        <is>
          <t>ASSIS BRASIL TEM A MAIOR TAXA DE CONTAMINAÇÃO DE COVID-19 E PREFEITO TEME PELA SAÚDE PÚBLICA. CIDADE ESTÁ ENFRENTANDO PROBLEMAS COM FLUXO DE IMIGRANTES RETIDOS DEVIDO ÀS FRONTEIRAS COM O PERU ESTAREM FECHADAS.</t>
        </is>
      </c>
      <c r="J735">
        <f>HYPERLINK("https://g1.globo.com/ac/acre/noticia/2021/02/18/mais-50-venezuelanos-chegam-no-interior-do-acre-e-agrava-crise-migratoria-diz-prefeito.ghtml", "URL")</f>
        <v/>
      </c>
      <c r="K735">
        <f>HYPERLINK("https://raw.githubusercontent.com/marcosmapl/dataset_imigrantes/main/noticias_filtered/g1/ambos/2021/01_fev/html/g1_79a93a7c-230f-11ed-b24f-6dbe51e79fca_2797.html", "HTML")</f>
        <v/>
      </c>
      <c r="L735">
        <f>HYPERLINK("https://raw.githubusercontent.com/marcosmapl/dataset_imigrantes/main/noticias_filtered/g1/ambos/2021/01_fev/txt/g1_79a93a7c-230f-11ed-b24f-6dbe51e79fca_2797.txt", "TXT")</f>
        <v/>
      </c>
    </row>
    <row r="736">
      <c r="A736" s="1" t="n">
        <v>734</v>
      </c>
      <c r="B736" t="n">
        <v>2021</v>
      </c>
      <c r="C736" s="2" t="n">
        <v>44245.46354828704</v>
      </c>
      <c r="D736" t="inlineStr">
        <is>
          <t>G1</t>
        </is>
      </c>
      <c r="E736" t="inlineStr">
        <is>
          <t>HAITIANOS</t>
        </is>
      </c>
      <c r="F736" t="inlineStr">
        <is>
          <t>ACRE</t>
        </is>
      </c>
      <c r="G736" t="inlineStr">
        <is>
          <t>TÁCITA MUNIZ, G1 ACRE — RIO BRANCO</t>
        </is>
      </c>
      <c r="H736" t="inlineStr">
        <is>
          <t>MINISTÉRIO DA JUSTIÇA AUTORIZA USO DA FORÇA NACIONAL PARA BLOQUEAR ENTRADA DE ESTRANGEIROS NO ACRE</t>
        </is>
      </c>
      <c r="I736" t="inlineStr">
        <is>
          <t>MEDIDA É VÁLIDA ATÉ 18 DE ABRIL. ESTADO, QUE LIDA COM CRISE COM IMIGRANTES, SURTO DE DENGUE E FALTA DE LEITOS PARA PACIENTES DE COVID-19, DECRETOU SITUAÇÃO DE EMERGÊNCIA EM PARTE DOS MUNICÍPIOS.</t>
        </is>
      </c>
      <c r="J736">
        <f>HYPERLINK("https://g1.globo.com/ac/acre/noticia/2021/02/18/ministerio-da-justica-autoriza-forca-nacional-imigrantes-acre.ghtml", "URL")</f>
        <v/>
      </c>
      <c r="K736">
        <f>HYPERLINK("https://raw.githubusercontent.com/marcosmapl/dataset_imigrantes/main/noticias_filtered/g1/haitianos/2021/01_fev/html/g1_5b61ba76-22ec-11ed-b24f-6dbe51e79fca_1655.html", "HTML")</f>
        <v/>
      </c>
      <c r="L736">
        <f>HYPERLINK("https://raw.githubusercontent.com/marcosmapl/dataset_imigrantes/main/noticias_filtered/g1/haitianos/2021/01_fev/txt/g1_5b61ba76-22ec-11ed-b24f-6dbe51e79fca_1655.txt", "TXT")</f>
        <v/>
      </c>
    </row>
    <row r="737">
      <c r="A737" s="1" t="n">
        <v>735</v>
      </c>
      <c r="B737" t="n">
        <v>2021</v>
      </c>
      <c r="C737" s="2" t="n">
        <v>44245.04684087963</v>
      </c>
      <c r="D737" t="inlineStr">
        <is>
          <t>G1</t>
        </is>
      </c>
      <c r="E737" t="inlineStr">
        <is>
          <t>HAITIANOS</t>
        </is>
      </c>
      <c r="F737" t="inlineStr">
        <is>
          <t>JORNAL NACIONAL</t>
        </is>
      </c>
      <c r="G737" t="inlineStr"/>
      <c r="H737" t="inlineStr">
        <is>
          <t>CIDADE NO ACRE ENFRENTA CRISE MIGRATÓRIA E DECRETA ESTADO DE CALAMIDADE PÚBLICA</t>
        </is>
      </c>
      <c r="I737" t="inlineStr">
        <is>
          <t>ELES FAZEM O CAMINHO INVERSO DE UMA VIAGEM QUE COMEÇOU HÁ 11 ANOS, QUANDO MILHARES DE IMIGRANTES, PRINCIPALMENTE HAITIANOS E AFRICANOS, CHEGARAM À CIDADE DE ASSIS BRASIL, NO ACRE, NA FRONTEIRA COM O PERU.</t>
        </is>
      </c>
      <c r="J737">
        <f>HYPERLINK("https://g1.globo.com/jornal-nacional/noticia/2021/02/17/cidade-no-acre-enfrenta-crise-migratoria-e-decreta-estado-de-calamidade-publica.ghtml", "URL")</f>
        <v/>
      </c>
      <c r="K737">
        <f>HYPERLINK("https://raw.githubusercontent.com/marcosmapl/dataset_imigrantes/main/noticias_filtered/g1/haitianos/2021/01_fev/html/g1_5e74e3ca-22f4-11ed-b24f-6dbe51e79fca_1884.html", "HTML")</f>
        <v/>
      </c>
      <c r="L737">
        <f>HYPERLINK("https://raw.githubusercontent.com/marcosmapl/dataset_imigrantes/main/noticias_filtered/g1/haitianos/2021/01_fev/txt/g1_5e74e3ca-22f4-11ed-b24f-6dbe51e79fca_1884.txt", "TXT")</f>
        <v/>
      </c>
    </row>
    <row r="738">
      <c r="A738" s="1" t="n">
        <v>736</v>
      </c>
      <c r="B738" t="n">
        <v>2021</v>
      </c>
      <c r="C738" s="2" t="n">
        <v>44244.87694444445</v>
      </c>
      <c r="D738" t="inlineStr">
        <is>
          <t>A CRITICA</t>
        </is>
      </c>
      <c r="E738" t="inlineStr">
        <is>
          <t>VENEZUELANOS</t>
        </is>
      </c>
      <c r="F738" t="inlineStr">
        <is>
          <t>SAUDE</t>
        </is>
      </c>
      <c r="G738" t="inlineStr">
        <is>
          <t>PORTAL A CRÍTICA</t>
        </is>
      </c>
      <c r="H738" t="inlineStr">
        <is>
          <t>MPF QUER VACINAÇÃO PRIORITÁRIA CONTRA A COVID-19 DE TODOS OS INDÍGENAS DO AM</t>
        </is>
      </c>
      <c r="I738" t="inlineStr">
        <is>
          <t>INDÍGENAS QUE VIVEM EM CONTEXTO URBANO OU EM ÁREAS NÃO REGULARIZADAS FAZEM PARTE DO PLANO EMERGENCIAL PARA ENFRENTAMENTO À COVID-19, ESTABELECIDO PELA LEI N º 14.021/20; PRAZO PARA RESPOSTA É DE CINCO DIAS</t>
        </is>
      </c>
      <c r="J738">
        <f>HYPERLINK("https://www.acritica.com/saude/mpf-quer-vacinac-o-prioritaria-contra-a-covid-19-de-todos-os-indigenas-do-am-1.23138", "URL")</f>
        <v/>
      </c>
      <c r="K738">
        <f>HYPERLINK("https://raw.githubusercontent.com/marcosmapl/dataset_imigrantes/main/noticias_filtered/a_critica/venezuelanos/2021/01_fev/html/1.23138_605.html", "HTML")</f>
        <v/>
      </c>
      <c r="L738">
        <f>HYPERLINK("https://raw.githubusercontent.com/marcosmapl/dataset_imigrantes/main/noticias_filtered/a_critica/venezuelanos/2021/01_fev/txt/1.23138_605.txt", "TXT")</f>
        <v/>
      </c>
    </row>
    <row r="739">
      <c r="A739" s="1" t="n">
        <v>737</v>
      </c>
      <c r="B739" t="n">
        <v>2021</v>
      </c>
      <c r="C739" s="2" t="n">
        <v>44244.75807603009</v>
      </c>
      <c r="D739" t="inlineStr">
        <is>
          <t>G1</t>
        </is>
      </c>
      <c r="E739" t="inlineStr">
        <is>
          <t>VENEZUELANOS</t>
        </is>
      </c>
      <c r="F739" t="inlineStr">
        <is>
          <t>MATO GROSSO</t>
        </is>
      </c>
      <c r="G739" t="inlineStr">
        <is>
          <t>G1 MT</t>
        </is>
      </c>
      <c r="H739" t="inlineStr">
        <is>
          <t>VENEZUELANO ACUSADO DE MATAR E ESQUARTEJAR VÍTIMA EM RORAIMA É PRESO EM MT</t>
        </is>
      </c>
      <c r="I739" t="inlineStr">
        <is>
          <t>SEGUNDO A POLÍCIA RORAIMENSE, O SUSPEITO É LIGADO A UMA ORGANIZAÇÃO CRIMINOSA DA VENEZUELA, CONHECIDA POR MATAR CRIMINOSOS CONCORRENTES.</t>
        </is>
      </c>
      <c r="J739">
        <f>HYPERLINK("https://g1.globo.com/mt/mato-grosso/noticia/2021/02/17/venezuelano-acusado-de-matar-e-esquartejar-vitima-em-roraima-e-preso-em-mt.ghtml", "URL")</f>
        <v/>
      </c>
      <c r="K739">
        <f>HYPERLINK("https://raw.githubusercontent.com/marcosmapl/dataset_imigrantes/main/noticias_filtered/g1/venezuelanos/2021/01_fev/html/g1_5ca7e9e0-2329-11ed-b24f-6dbe51e79fca_4112.html", "HTML")</f>
        <v/>
      </c>
      <c r="L739">
        <f>HYPERLINK("https://raw.githubusercontent.com/marcosmapl/dataset_imigrantes/main/noticias_filtered/g1/venezuelanos/2021/01_fev/txt/g1_5ca7e9e0-2329-11ed-b24f-6dbe51e79fca_4112.txt", "TXT")</f>
        <v/>
      </c>
    </row>
    <row r="740">
      <c r="A740" s="1" t="n">
        <v>738</v>
      </c>
      <c r="B740" t="n">
        <v>2021</v>
      </c>
      <c r="C740" s="2" t="n">
        <v>44244.69695490741</v>
      </c>
      <c r="D740" t="inlineStr">
        <is>
          <t>G1</t>
        </is>
      </c>
      <c r="E740" t="inlineStr">
        <is>
          <t>HAITIANOS</t>
        </is>
      </c>
      <c r="F740" t="inlineStr">
        <is>
          <t>ACRE</t>
        </is>
      </c>
      <c r="G740" t="inlineStr">
        <is>
          <t>IRYÁ RODRIGUES, G1 AC — RIO BRANCO</t>
        </is>
      </c>
      <c r="H740" t="inlineStr">
        <is>
          <t>APÓS CONFRONTO COM POLÍCIA NO PERU, SETE IMIGRANTES SÃO ATENDIDOS EM HOSPITAL NO AC E 130 CONTINUAM ACAMPADOS EM PONTE</t>
        </is>
      </c>
      <c r="I740" t="inlineStr">
        <is>
          <t>OUTRAS 240 PESSOAS ESTÃO NOS ABRIGOS INSTALADOS EM DUAS ESCOLAS NA CIDADE DE ASSIS BRASIL. GERÊNCIA DA UNIDADE DE SAÚDE DA CIDADE INFORMOU QUE ENTRE FERIDOS TINHA UMA CRIANÇA E QUE TODOS RECEBERAM ATENDIMENTO E, POR SEREM ESCORIAÇÕES LEVES, JÁ FORAM LIBERADOS.</t>
        </is>
      </c>
      <c r="J740">
        <f>HYPERLINK("https://g1.globo.com/ac/acre/noticia/2021/02/17/apos-confronto-com-policia-no-peru-sete-imigrantes-sao-atendidos-em-hospital-no-ac-e-130-continuam-acampados-em-ponte.ghtml", "URL")</f>
        <v/>
      </c>
      <c r="K740">
        <f>HYPERLINK("https://raw.githubusercontent.com/marcosmapl/dataset_imigrantes/main/noticias_filtered/g1/haitianos/2021/01_fev/html/g1_d6b49678-232b-11ed-b24f-6dbe51e79fca_4274.html", "HTML")</f>
        <v/>
      </c>
      <c r="L740">
        <f>HYPERLINK("https://raw.githubusercontent.com/marcosmapl/dataset_imigrantes/main/noticias_filtered/g1/haitianos/2021/01_fev/txt/g1_d6b49678-232b-11ed-b24f-6dbe51e79fca_4274.txt", "TXT")</f>
        <v/>
      </c>
    </row>
    <row r="741">
      <c r="A741" s="1" t="n">
        <v>739</v>
      </c>
      <c r="B741" t="n">
        <v>2021</v>
      </c>
      <c r="C741" s="2" t="n">
        <v>44244.3341440162</v>
      </c>
      <c r="D741" t="inlineStr">
        <is>
          <t>G1</t>
        </is>
      </c>
      <c r="E741" t="inlineStr">
        <is>
          <t>HAITIANOS</t>
        </is>
      </c>
      <c r="F741" t="inlineStr">
        <is>
          <t>ACRE</t>
        </is>
      </c>
      <c r="G741" t="inlineStr">
        <is>
          <t>ALINE NASCIMENTO, G1 AC — RIO BRANCO</t>
        </is>
      </c>
      <c r="H741" t="inlineStr">
        <is>
          <t>IMIGRANTES ACAMPADOS EM PONTE NA FRONTEIRA DO PERU COMEÇAM A VOLTAR PARA ABRIGOS NO ACRE</t>
        </is>
      </c>
      <c r="I741" t="inlineStr">
        <is>
          <t>IMIGRANTES, NA MAIORIA HAITIANOS, ESTAVAM ACAMPADOS NA PONTE DA INTEGRAÇÃO, EM ASSIS BRASIL, MUNICÍPIO QUE FAZ FRONTEIRA COM A CIDADE DE INÃPARI, NO PERU. INICIALMENTE, APENAS MULHERES, CRIANÇAS, GRÁVIDAS E ALGUNS HOMENS RETORNARAM PARA ABRIGO.</t>
        </is>
      </c>
      <c r="J741">
        <f>HYPERLINK("https://g1.globo.com/ac/acre/noticia/2021/02/17/imigrantes-acampados-em-ponte-na-fronteira-do-peru-comecam-a-voltar-para-abrigos-no-acre.ghtml", "URL")</f>
        <v/>
      </c>
      <c r="K741">
        <f>HYPERLINK("https://raw.githubusercontent.com/marcosmapl/dataset_imigrantes/main/noticias_filtered/g1/haitianos/2021/01_fev/html/g1_4aab73f6-22f2-11ed-b24f-6dbe51e79fca_1790.html", "HTML")</f>
        <v/>
      </c>
      <c r="L741">
        <f>HYPERLINK("https://raw.githubusercontent.com/marcosmapl/dataset_imigrantes/main/noticias_filtered/g1/haitianos/2021/01_fev/txt/g1_4aab73f6-22f2-11ed-b24f-6dbe51e79fca_1790.txt", "TXT")</f>
        <v/>
      </c>
    </row>
    <row r="742">
      <c r="A742" s="1" t="n">
        <v>740</v>
      </c>
      <c r="B742" t="n">
        <v>2021</v>
      </c>
      <c r="C742" s="2" t="n">
        <v>44243.89438077546</v>
      </c>
      <c r="D742" t="inlineStr">
        <is>
          <t>G1</t>
        </is>
      </c>
      <c r="E742" t="inlineStr">
        <is>
          <t>VENEZUELANOS</t>
        </is>
      </c>
      <c r="F742" t="inlineStr">
        <is>
          <t>RORAIMA</t>
        </is>
      </c>
      <c r="G742" t="inlineStr">
        <is>
          <t>G1 RR — BOA VISTA</t>
        </is>
      </c>
      <c r="H742" t="inlineStr">
        <is>
          <t>DOIS JOVENS SÃO MORTOS E TRÊS FICAM FERIDOS DURANTE TIROTEIO NA ZONA SUL DE BOA VISTA</t>
        </is>
      </c>
      <c r="I742" t="inlineStr">
        <is>
          <t>O CRIME OCORREU NA TARDE DESTA TERÇA-FEIRA (16) EM UM BAR PRÓXIMO À FEIRA DO PRODUTOR, NO BAIRRO SÃO VICENTE. DE ACORDO COM A PM, OS ATIRADORES CHEGARAM EM UMA MOTO E FIZERAM OS DISPAROS. TODAS AS VÍTIMAS SÃO DE NACIONALIDADE VENEZUELANA.</t>
        </is>
      </c>
      <c r="J742">
        <f>HYPERLINK("https://g1.globo.com/rr/roraima/noticia/2021/02/16/tres-pessoas-ficam-feridas-e-duas-morrem-durante-tiroteio-na-zona-sul-de-boa-vista.ghtml", "URL")</f>
        <v/>
      </c>
      <c r="K742">
        <f>HYPERLINK("https://raw.githubusercontent.com/marcosmapl/dataset_imigrantes/main/noticias_filtered/g1/venezuelanos/2021/01_fev/html/g1_ddf8a44e-230b-11ed-b24f-6dbe51e79fca_2592.html", "HTML")</f>
        <v/>
      </c>
      <c r="L742">
        <f>HYPERLINK("https://raw.githubusercontent.com/marcosmapl/dataset_imigrantes/main/noticias_filtered/g1/venezuelanos/2021/01_fev/txt/g1_ddf8a44e-230b-11ed-b24f-6dbe51e79fca_2592.txt", "TXT")</f>
        <v/>
      </c>
    </row>
    <row r="743">
      <c r="A743" s="1" t="n">
        <v>741</v>
      </c>
      <c r="B743" t="n">
        <v>2021</v>
      </c>
      <c r="C743" s="2" t="n">
        <v>44242.60581813657</v>
      </c>
      <c r="D743" t="inlineStr">
        <is>
          <t>G1</t>
        </is>
      </c>
      <c r="E743" t="inlineStr">
        <is>
          <t>VENEZUELANOS</t>
        </is>
      </c>
      <c r="F743" t="inlineStr">
        <is>
          <t>RORAIMA</t>
        </is>
      </c>
      <c r="G743" t="inlineStr">
        <is>
          <t>G1 RR — BOA VISTA</t>
        </is>
      </c>
      <c r="H743" t="inlineStr">
        <is>
          <t>MOTORISTA É MORTO A TIROS E PASSAGEIRO VENEZUELANO ATINGIDO POR NOVE DISPAROS EM BOA VISTA</t>
        </is>
      </c>
      <c r="I743" t="inlineStr">
        <is>
          <t>FORAM DADOS 14 DISPAROS CONTRA O VEÍCULO POR DOIS SUSPEITOS, QUE AINDA FUGIRAM COM O CARRO.</t>
        </is>
      </c>
      <c r="J743">
        <f>HYPERLINK("https://g1.globo.com/rr/roraima/noticia/2021/02/15/motorista-e-morto-a-tiros-e-passageiro-venezuelano-atingido-por-nove-disparos-em-boa-vista.ghtml", "URL")</f>
        <v/>
      </c>
      <c r="K743">
        <f>HYPERLINK("https://raw.githubusercontent.com/marcosmapl/dataset_imigrantes/main/noticias_filtered/g1/venezuelanos/2021/01_fev/html/g1_be5154c0-2323-11ed-b24f-6dbe51e79fca_3826.html", "HTML")</f>
        <v/>
      </c>
      <c r="L743">
        <f>HYPERLINK("https://raw.githubusercontent.com/marcosmapl/dataset_imigrantes/main/noticias_filtered/g1/venezuelanos/2021/01_fev/txt/g1_be5154c0-2323-11ed-b24f-6dbe51e79fca_3826.txt", "TXT")</f>
        <v/>
      </c>
    </row>
    <row r="744">
      <c r="A744" s="1" t="n">
        <v>742</v>
      </c>
      <c r="B744" t="n">
        <v>2021</v>
      </c>
      <c r="C744" s="2" t="n">
        <v>44241.73094767361</v>
      </c>
      <c r="D744" t="inlineStr">
        <is>
          <t>G1</t>
        </is>
      </c>
      <c r="E744" t="inlineStr">
        <is>
          <t>HAITIANOS</t>
        </is>
      </c>
      <c r="F744" t="inlineStr">
        <is>
          <t>ACRE</t>
        </is>
      </c>
      <c r="G744" t="inlineStr">
        <is>
          <t>ALCINETE GADELHA, G1 AC — RIO BRANCO</t>
        </is>
      </c>
      <c r="H744" t="inlineStr">
        <is>
          <t>IMIGRANTES HAITIANOS SÃO BARRADOS AO TENTAR DEIXAR O ACRE PELA FRONTEIRA DO PERU: 'SITUAÇÃO CAÓTICA', DIZ PREFEITO</t>
        </is>
      </c>
      <c r="I744" t="inlineStr">
        <is>
          <t>IMIGRANTES HAITIANOS ESTÃO ACAMPADOS NA PONTE DA INTEGRAÇÃO, EM ASSIS BRASIL, NA FRONTEIRA COM O PERU.</t>
        </is>
      </c>
      <c r="J744">
        <f>HYPERLINK("https://g1.globo.com/ac/acre/noticia/2021/02/14/imigrantes-sao-barrados-ao-tentar-deixar-o-acre-pela-fronteira-do-peru.ghtml", "URL")</f>
        <v/>
      </c>
      <c r="K744">
        <f>HYPERLINK("https://raw.githubusercontent.com/marcosmapl/dataset_imigrantes/main/noticias_filtered/g1/haitianos/2021/01_fev/html/g1_cfa532bc-22f3-11ed-b24f-6dbe51e79fca_1858.html", "HTML")</f>
        <v/>
      </c>
      <c r="L744">
        <f>HYPERLINK("https://raw.githubusercontent.com/marcosmapl/dataset_imigrantes/main/noticias_filtered/g1/haitianos/2021/01_fev/txt/g1_cfa532bc-22f3-11ed-b24f-6dbe51e79fca_1858.txt", "TXT")</f>
        <v/>
      </c>
    </row>
    <row r="745">
      <c r="A745" s="1" t="n">
        <v>743</v>
      </c>
      <c r="B745" t="n">
        <v>2021</v>
      </c>
      <c r="C745" s="2" t="n">
        <v>44238.85273254629</v>
      </c>
      <c r="D745" t="inlineStr">
        <is>
          <t>G1</t>
        </is>
      </c>
      <c r="E745" t="inlineStr">
        <is>
          <t>VENEZUELANOS</t>
        </is>
      </c>
      <c r="F745" t="inlineStr">
        <is>
          <t>RORAIMA</t>
        </is>
      </c>
      <c r="G745" t="inlineStr">
        <is>
          <t>G1 RR — BOA VISTA</t>
        </is>
      </c>
      <c r="H745" t="inlineStr">
        <is>
          <t>POLÍCIA CIVIL DE RR ACREDITA QUE SEQUÊNCIA DE ASSASSINATOS PODE TER RELAÇÃO COM TRÁFICO DE DROGAS</t>
        </is>
      </c>
      <c r="I745" t="inlineStr">
        <is>
          <t>QUATRO PESSOAS FORAM ASSASSINADAS ENTRE OS DIAS 9 E 10 DE FEVEREIRO, EM BOA VISTA. TRÊS VÍTIMAS SÃO VENEZUELANAS. DISPUTA POR TERRITÓRIO ENTRE FACÇÕES É UMA DAS LINHAS DE INVESTIGAÇÃO, SEGUNDO A CIVIL.</t>
        </is>
      </c>
      <c r="J745">
        <f>HYPERLINK("https://g1.globo.com/rr/roraima/noticia/2021/02/11/policia-civil-de-rr-acredita-que-sequencia-de-assassinatos-pode-ter-relacao-com-trafico-de-drogas.ghtml", "URL")</f>
        <v/>
      </c>
      <c r="K745">
        <f>HYPERLINK("https://raw.githubusercontent.com/marcosmapl/dataset_imigrantes/main/noticias_filtered/g1/venezuelanos/2021/01_fev/html/g1_65145cb4-2318-11ed-b24f-6dbe51e79fca_3257.html", "HTML")</f>
        <v/>
      </c>
      <c r="L745">
        <f>HYPERLINK("https://raw.githubusercontent.com/marcosmapl/dataset_imigrantes/main/noticias_filtered/g1/venezuelanos/2021/01_fev/txt/g1_65145cb4-2318-11ed-b24f-6dbe51e79fca_3257.txt", "TXT")</f>
        <v/>
      </c>
    </row>
    <row r="746">
      <c r="A746" s="1" t="n">
        <v>744</v>
      </c>
      <c r="B746" t="n">
        <v>2021</v>
      </c>
      <c r="C746" s="2" t="n">
        <v>44238.60617650463</v>
      </c>
      <c r="D746" t="inlineStr">
        <is>
          <t>G1</t>
        </is>
      </c>
      <c r="E746" t="inlineStr">
        <is>
          <t>VENEZUELANOS</t>
        </is>
      </c>
      <c r="F746" t="inlineStr">
        <is>
          <t>RORAIMA</t>
        </is>
      </c>
      <c r="G746" t="inlineStr">
        <is>
          <t>G1 RR — BOA VISTA</t>
        </is>
      </c>
      <c r="H746" t="inlineStr">
        <is>
          <t>VENEZUELANO É MORTO COM TIROS EM SALÃO DE BELEZA NA ZONA OESTE DE BOA VISTA</t>
        </is>
      </c>
      <c r="I746" t="inlineStr">
        <is>
          <t>SUSPEITO ENTROU NO ESTABELECIMENTO, PERGUNTOU QUANTO CUSTAVA O CORTE DE CABELO E EM SEGUIDA, SACOU UAM ARMA E FEZ TODOS QUE ESTAVAM NO SALÃO DE REFÉNS.</t>
        </is>
      </c>
      <c r="J746">
        <f>HYPERLINK("https://g1.globo.com/rr/roraima/noticia/2021/02/11/venezuelano-e-morto-com-tiros-em-salao-de-beleza-na-zona-oeste-de-boa-vista.ghtml", "URL")</f>
        <v/>
      </c>
      <c r="K746">
        <f>HYPERLINK("https://raw.githubusercontent.com/marcosmapl/dataset_imigrantes/main/noticias_filtered/g1/venezuelanos/2021/01_fev/html/g1_d917f5aa-2316-11ed-b24f-6dbe51e79fca_3174.html", "HTML")</f>
        <v/>
      </c>
      <c r="L746">
        <f>HYPERLINK("https://raw.githubusercontent.com/marcosmapl/dataset_imigrantes/main/noticias_filtered/g1/venezuelanos/2021/01_fev/txt/g1_d917f5aa-2316-11ed-b24f-6dbe51e79fca_3174.txt", "TXT")</f>
        <v/>
      </c>
    </row>
    <row r="747">
      <c r="A747" s="1" t="n">
        <v>745</v>
      </c>
      <c r="B747" t="n">
        <v>2021</v>
      </c>
      <c r="C747" s="2" t="n">
        <v>44237.58751452546</v>
      </c>
      <c r="D747" t="inlineStr">
        <is>
          <t>G1</t>
        </is>
      </c>
      <c r="E747" t="inlineStr">
        <is>
          <t>VENEZUELANOS</t>
        </is>
      </c>
      <c r="F747" t="inlineStr">
        <is>
          <t>RORAIMA</t>
        </is>
      </c>
      <c r="G747" t="inlineStr">
        <is>
          <t>G1 RR — BOA VISTA</t>
        </is>
      </c>
      <c r="H747" t="inlineStr">
        <is>
          <t>VENEZUELANO É ASSASSINADO COM TIROS NA CABEÇA NO CENTRO DE BOA VISTA</t>
        </is>
      </c>
      <c r="I747" t="inlineStr">
        <is>
          <t>A VÍTIMA VENDIA CELULARES E CAPAS DE PROTEÇÃO NO CAXAMBÚ QUANDO FOI ATINGIDO POR DIVERSOS DISPAROS, INFORMOU A PM.</t>
        </is>
      </c>
      <c r="J747">
        <f>HYPERLINK("https://g1.globo.com/rr/roraima/noticia/2021/02/10/venezuelano-e-assassinado-com-tiros-na-cabeca-no-centro-de-boa-vista.ghtml", "URL")</f>
        <v/>
      </c>
      <c r="K747">
        <f>HYPERLINK("https://raw.githubusercontent.com/marcosmapl/dataset_imigrantes/main/noticias_filtered/g1/venezuelanos/2021/01_fev/html/g1_0e2114bc-231b-11ed-b24f-6dbe51e79fca_3366.html", "HTML")</f>
        <v/>
      </c>
      <c r="L747">
        <f>HYPERLINK("https://raw.githubusercontent.com/marcosmapl/dataset_imigrantes/main/noticias_filtered/g1/venezuelanos/2021/01_fev/txt/g1_0e2114bc-231b-11ed-b24f-6dbe51e79fca_3366.txt", "TXT")</f>
        <v/>
      </c>
    </row>
    <row r="748">
      <c r="A748" s="1" t="n">
        <v>746</v>
      </c>
      <c r="B748" t="n">
        <v>2021</v>
      </c>
      <c r="C748" s="2" t="n">
        <v>44237.53146494213</v>
      </c>
      <c r="D748" t="inlineStr">
        <is>
          <t>G1</t>
        </is>
      </c>
      <c r="E748" t="inlineStr">
        <is>
          <t>VENEZUELANOS</t>
        </is>
      </c>
      <c r="F748" t="inlineStr">
        <is>
          <t>RORAIMA</t>
        </is>
      </c>
      <c r="G748" t="inlineStr">
        <is>
          <t>G1 RR — BOA VISTA</t>
        </is>
      </c>
      <c r="H748" t="inlineStr">
        <is>
          <t>VENEZUELANO É ASSASSINADO COM UM TIRO NA ZONA SUL DE BOA VISTA</t>
        </is>
      </c>
      <c r="I748" t="inlineStr">
        <is>
          <t>TESTEMUNHA DISSE QUE FOI ASSALTADA PELO MESMO SUSPEITO DO DISPARO, INFORMOU A PM. NINGUÉM FOI PRESO.</t>
        </is>
      </c>
      <c r="J748">
        <f>HYPERLINK("https://g1.globo.com/rr/roraima/noticia/2021/02/10/venezuelano-e-assassinado-com-um-tiro-na-zona-sul-de-boa-vista.ghtml", "URL")</f>
        <v/>
      </c>
      <c r="K748">
        <f>HYPERLINK("https://raw.githubusercontent.com/marcosmapl/dataset_imigrantes/main/noticias_filtered/g1/venezuelanos/2021/01_fev/html/g1_70fb5694-230a-11ed-b24f-6dbe51e79fca_2506.html", "HTML")</f>
        <v/>
      </c>
      <c r="L748">
        <f>HYPERLINK("https://raw.githubusercontent.com/marcosmapl/dataset_imigrantes/main/noticias_filtered/g1/venezuelanos/2021/01_fev/txt/g1_70fb5694-230a-11ed-b24f-6dbe51e79fca_2506.txt", "TXT")</f>
        <v/>
      </c>
    </row>
    <row r="749">
      <c r="A749" s="1" t="n">
        <v>747</v>
      </c>
      <c r="B749" t="n">
        <v>2021</v>
      </c>
      <c r="C749" s="2" t="n">
        <v>44235.62920331019</v>
      </c>
      <c r="D749" t="inlineStr">
        <is>
          <t>G1</t>
        </is>
      </c>
      <c r="E749" t="inlineStr">
        <is>
          <t>VENEZUELANOS</t>
        </is>
      </c>
      <c r="F749" t="inlineStr">
        <is>
          <t>AMAZONAS</t>
        </is>
      </c>
      <c r="G749" t="inlineStr">
        <is>
          <t>G1 AM*</t>
        </is>
      </c>
      <c r="H749" t="inlineStr">
        <is>
          <t>ESTRANGEIROS DESAPARECEM NA REGIÃO DE TONANTINS (AM)</t>
        </is>
      </c>
      <c r="I749" t="inlineStr">
        <is>
          <t>COLOMBIANOS E UMA VENEZUELANA SÃO PROCURADOS DESDE 28 DE JANEIRO.</t>
        </is>
      </c>
      <c r="J749">
        <f>HYPERLINK("https://g1.globo.com/am/amazonas/noticia/2021/02/08/estrangeiros-desaparecem-na-regiao-de-tonantins-am.ghtml", "URL")</f>
        <v/>
      </c>
      <c r="K749">
        <f>HYPERLINK("https://raw.githubusercontent.com/marcosmapl/dataset_imigrantes/main/noticias_filtered/g1/venezuelanos/2021/01_fev/html/g1_eb6f35b6-230b-11ed-b24f-6dbe51e79fca_2596.html", "HTML")</f>
        <v/>
      </c>
      <c r="L749">
        <f>HYPERLINK("https://raw.githubusercontent.com/marcosmapl/dataset_imigrantes/main/noticias_filtered/g1/venezuelanos/2021/01_fev/txt/g1_eb6f35b6-230b-11ed-b24f-6dbe51e79fca_2596.txt", "TXT")</f>
        <v/>
      </c>
    </row>
    <row r="750">
      <c r="A750" s="1" t="n">
        <v>748</v>
      </c>
      <c r="B750" t="n">
        <v>2021</v>
      </c>
      <c r="C750" s="2" t="n">
        <v>44234.71172151621</v>
      </c>
      <c r="D750" t="inlineStr">
        <is>
          <t>G1</t>
        </is>
      </c>
      <c r="E750" t="inlineStr">
        <is>
          <t>HAITIANOS</t>
        </is>
      </c>
      <c r="F750" t="inlineStr">
        <is>
          <t>MUNDO</t>
        </is>
      </c>
      <c r="G750" t="inlineStr">
        <is>
          <t>BBC</t>
        </is>
      </c>
      <c r="H750" t="inlineStr">
        <is>
          <t>A CRESCENTE E PERIGOSA INSTABILIDADE NO HAITI, PAÍS QUE TEVE QUASE 20 GOVERNOS EM 35 ANOS</t>
        </is>
      </c>
      <c r="I750" t="inlineStr">
        <is>
          <t>PARA OPOSITORES, CONSTITUIÇÃO DETERMINA QUE PRESIDENTE DEVE SAIR DO CARGO NESTE DOMINGO (8). MAS ATUAL MANDATÁRIO, JOVENEL MOÏSE, TENTA SE MANTER NO PODER COM OUTRA LEITURA DA CARTA MAGNA E CONVOCAÇÃO DE REFERENDO.</t>
        </is>
      </c>
      <c r="J750">
        <f>HYPERLINK("https://g1.globo.com/mundo/noticia/2021/02/07/a-crescente-e-perigosa-instabilidade-no-haiti-pais-que-teve-quase-20-governos-em-35-anos.ghtml", "URL")</f>
        <v/>
      </c>
      <c r="K750">
        <f>HYPERLINK("https://raw.githubusercontent.com/marcosmapl/dataset_imigrantes/main/noticias_filtered/g1/haitianos/2021/01_fev/html/g1_c9e8bc0e-232a-11ed-b24f-6dbe51e79fca_4203.html", "HTML")</f>
        <v/>
      </c>
      <c r="L750">
        <f>HYPERLINK("https://raw.githubusercontent.com/marcosmapl/dataset_imigrantes/main/noticias_filtered/g1/haitianos/2021/01_fev/txt/g1_c9e8bc0e-232a-11ed-b24f-6dbe51e79fca_4203.txt", "TXT")</f>
        <v/>
      </c>
    </row>
    <row r="751">
      <c r="A751" s="1" t="n">
        <v>749</v>
      </c>
      <c r="B751" t="n">
        <v>2021</v>
      </c>
      <c r="C751" s="2" t="n">
        <v>44233.69928712963</v>
      </c>
      <c r="D751" t="inlineStr">
        <is>
          <t>G1</t>
        </is>
      </c>
      <c r="E751" t="inlineStr">
        <is>
          <t>HAITIANOS</t>
        </is>
      </c>
      <c r="F751" t="inlineStr">
        <is>
          <t>SANTA CATARINA</t>
        </is>
      </c>
      <c r="G751" t="inlineStr">
        <is>
          <t>G1 SC E NSC TV</t>
        </is>
      </c>
      <c r="H751" t="inlineStr">
        <is>
          <t>JOVEM PUBLICA LIVRO PARA AJUDAR IMIGRANTES HAITIANOS A REENCONTRAREM FAMILIARES EM SC</t>
        </is>
      </c>
      <c r="I751" t="inlineStr">
        <is>
          <t>DIFICULDADES ENFRENTADAS PELA POPULAÇÃO SENSIBILIZOU JORNALISTA. META É TRAZER 12 CRIANÇAS PARA JOINVILLE COM OS RECURSOS ARRECADADOS.</t>
        </is>
      </c>
      <c r="J751">
        <f>HYPERLINK("https://g1.globo.com/sc/santa-catarina/noticia/2021/02/06/jovem-publica-livro-para-ajudar-imigrantes-haitianos-a-reencontrarem-familiares-em-sc.ghtml", "URL")</f>
        <v/>
      </c>
      <c r="K751">
        <f>HYPERLINK("https://raw.githubusercontent.com/marcosmapl/dataset_imigrantes/main/noticias_filtered/g1/haitianos/2021/01_fev/html/g1_fbddcc38-22ec-11ed-b24f-6dbe51e79fca_1674.html", "HTML")</f>
        <v/>
      </c>
      <c r="L751">
        <f>HYPERLINK("https://raw.githubusercontent.com/marcosmapl/dataset_imigrantes/main/noticias_filtered/g1/haitianos/2021/01_fev/txt/g1_fbddcc38-22ec-11ed-b24f-6dbe51e79fca_1674.txt", "TXT")</f>
        <v/>
      </c>
    </row>
    <row r="752">
      <c r="A752" s="1" t="n">
        <v>750</v>
      </c>
      <c r="B752" t="n">
        <v>2021</v>
      </c>
      <c r="C752" s="2" t="n">
        <v>44232.5177028125</v>
      </c>
      <c r="D752" t="inlineStr">
        <is>
          <t>G1</t>
        </is>
      </c>
      <c r="E752" t="inlineStr">
        <is>
          <t>HAITIANOS</t>
        </is>
      </c>
      <c r="F752" t="inlineStr">
        <is>
          <t>MUNDO</t>
        </is>
      </c>
      <c r="G752" t="inlineStr">
        <is>
          <t>BBC</t>
        </is>
      </c>
      <c r="H752" t="inlineStr">
        <is>
          <t>O HOMEM DEPORTADO PELOS EUA AO HAITI SEM TER NASCIDO OU TER ESTADO NO PAIS UMA VEZ SEQUER</t>
        </is>
      </c>
      <c r="I752" t="inlineStr">
        <is>
          <t>PAUL PIERRILUS FOI DEPORTADO PARA UM LUGAR ONDE NUNCA TINHA ESTADO, ONDE NÃO CONHECE NINGUÉM E DO QUAL NÃO TEM CIDADANIA.</t>
        </is>
      </c>
      <c r="J752">
        <f>HYPERLINK("https://g1.globo.com/mundo/noticia/2021/02/05/o-homem-deportado-pelos-eua-ao-haiti-sem-ter-nascido-ou-ter-estado-no-pais-uma-vez-sequer.ghtml", "URL")</f>
        <v/>
      </c>
      <c r="K752">
        <f>HYPERLINK("https://raw.githubusercontent.com/marcosmapl/dataset_imigrantes/main/noticias_filtered/g1/haitianos/2021/01_fev/html/g1_0c40f45c-231e-11ed-b24f-6dbe51e79fca_3536.html", "HTML")</f>
        <v/>
      </c>
      <c r="L752">
        <f>HYPERLINK("https://raw.githubusercontent.com/marcosmapl/dataset_imigrantes/main/noticias_filtered/g1/haitianos/2021/01_fev/txt/g1_0c40f45c-231e-11ed-b24f-6dbe51e79fca_3536.txt", "TXT")</f>
        <v/>
      </c>
    </row>
    <row r="753">
      <c r="A753" s="1" t="n">
        <v>751</v>
      </c>
      <c r="B753" t="n">
        <v>2021</v>
      </c>
      <c r="C753" s="2" t="n">
        <v>44231.86201287037</v>
      </c>
      <c r="D753" t="inlineStr">
        <is>
          <t>G1</t>
        </is>
      </c>
      <c r="E753" t="inlineStr">
        <is>
          <t>HAITIANOS</t>
        </is>
      </c>
      <c r="F753" t="inlineStr">
        <is>
          <t>TRIÂNGULO E ALTO PARANAÍBA</t>
        </is>
      </c>
      <c r="G753" t="inlineStr">
        <is>
          <t>G1 TRIÂNGULO E ALTO PARANAÍBA</t>
        </is>
      </c>
      <c r="H753" t="inlineStr">
        <is>
          <t>HAITIANA DIZ TER SIDO AGREDIDA POR COMERCIANTE E FILHO EM UBERLÂNDIA</t>
        </is>
      </c>
      <c r="I753" t="inlineStr">
        <is>
          <t>OCORRÊNCIA FOI REGISTRADA NA NOITE DESTA QUARTA-FEIRA (3). NINGUÉM FOI PRESO.</t>
        </is>
      </c>
      <c r="J753">
        <f>HYPERLINK("https://g1.globo.com/mg/triangulo-mineiro/noticia/2021/02/04/haitiana-diz-ter-sido-agredida-por-comerciante-e-filho-em-uberlandia.ghtml", "URL")</f>
        <v/>
      </c>
      <c r="K753">
        <f>HYPERLINK("https://raw.githubusercontent.com/marcosmapl/dataset_imigrantes/main/noticias_filtered/g1/haitianos/2021/01_fev/html/g1_99dba362-230e-11ed-b24f-6dbe51e79fca_2747.html", "HTML")</f>
        <v/>
      </c>
      <c r="L753">
        <f>HYPERLINK("https://raw.githubusercontent.com/marcosmapl/dataset_imigrantes/main/noticias_filtered/g1/haitianos/2021/01_fev/txt/g1_99dba362-230e-11ed-b24f-6dbe51e79fca_2747.txt", "TXT")</f>
        <v/>
      </c>
    </row>
    <row r="754">
      <c r="A754" s="1" t="n">
        <v>752</v>
      </c>
      <c r="B754" t="n">
        <v>2021</v>
      </c>
      <c r="C754" s="2" t="n">
        <v>44230.64090277778</v>
      </c>
      <c r="D754" t="inlineStr">
        <is>
          <t>A CRITICA</t>
        </is>
      </c>
      <c r="E754" t="inlineStr">
        <is>
          <t>VENEZUELANOS</t>
        </is>
      </c>
      <c r="F754" t="inlineStr"/>
      <c r="G754" t="inlineStr">
        <is>
          <t>PORTAL A CRÍTICA</t>
        </is>
      </c>
      <c r="H754" t="inlineStr">
        <is>
          <t>UNICEF REALIZA DOAÇÕES NA ZONA METROPOLITANA DE MANAUS</t>
        </is>
      </c>
      <c r="I754" t="inlineStr">
        <is>
          <t>FAMÍLIAS VULNERÁVEIS DA COMUNIDADE LAGO CATALÃO SÃO BENEFICIADAS COM  KITS DE HIGIENE CONTRA A COVID-19</t>
        </is>
      </c>
      <c r="J754">
        <f>HYPERLINK("https://www.acritica.com/unicef-realiza-doac-es-na-zona-metropolitana-de-manaus-1.23481", "URL")</f>
        <v/>
      </c>
      <c r="K754">
        <f>HYPERLINK("https://raw.githubusercontent.com/marcosmapl/dataset_imigrantes/main/noticias_filtered/a_critica/venezuelanos/2021/01_fev/html/1.23481_646.html", "HTML")</f>
        <v/>
      </c>
      <c r="L754">
        <f>HYPERLINK("https://raw.githubusercontent.com/marcosmapl/dataset_imigrantes/main/noticias_filtered/a_critica/venezuelanos/2021/01_fev/txt/1.23481_646.txt", "TXT")</f>
        <v/>
      </c>
    </row>
    <row r="755">
      <c r="A755" s="1" t="n">
        <v>753</v>
      </c>
      <c r="B755" t="n">
        <v>2021</v>
      </c>
      <c r="C755" s="2" t="n">
        <v>44230.60069444445</v>
      </c>
      <c r="D755" t="inlineStr">
        <is>
          <t>PORTAL AMAZONIA</t>
        </is>
      </c>
      <c r="E755" t="inlineStr">
        <is>
          <t>VENEZUELANOS</t>
        </is>
      </c>
      <c r="F755" t="inlineStr">
        <is>
          <t>AMAZONAS,AMAZÔNIA INTERNACIONAL,RORAIMA</t>
        </is>
      </c>
      <c r="G755" t="inlineStr">
        <is>
          <t>PORTAL AMAZÔNIA, COM INFORMAÇÕES DO G1 AMAZONAS</t>
        </is>
      </c>
      <c r="H755" t="inlineStr">
        <is>
          <t>GOVERNO DA VENEZUELA DIZ QUE VAI MANDAR MAIS TRÊS CAMINHÕES COM OXIGÊNIO PARA AM E RR</t>
        </is>
      </c>
      <c r="I755" t="inlineStr">
        <is>
          <t>ATUALMENTE, O CONSUMO DIÁRIO NO AMAZONAS É DE CERCA DE 80 MIL METROS CÚBICOS. ANTES DA PANDEMIA, A MÉDIA ERA DE 30 MIL</t>
        </is>
      </c>
      <c r="J755">
        <f>HYPERLINK("https://portalamazonia.com/estados/amazonia-internacional/governo-da-venezuela-diz-que-vai-mandar-mais-tres-caminhoes-com-oxigenio-para-am-e-rr", "URL")</f>
        <v/>
      </c>
      <c r="K755">
        <f>HYPERLINK("https://raw.githubusercontent.com/marcosmapl/dataset_imigrantes/main/noticias_filtered/portal_amazonia/venezuelanos/2021/01_fev/html/30696.69106_1575.html", "HTML")</f>
        <v/>
      </c>
      <c r="L755">
        <f>HYPERLINK("https://raw.githubusercontent.com/marcosmapl/dataset_imigrantes/main/noticias_filtered/portal_amazonia/venezuelanos/2021/01_fev/txt/30696.69106_1575.txt", "TXT")</f>
        <v/>
      </c>
    </row>
    <row r="756">
      <c r="A756" s="1" t="n">
        <v>754</v>
      </c>
      <c r="B756" t="n">
        <v>2021</v>
      </c>
      <c r="C756" s="2" t="n">
        <v>44224.58610709491</v>
      </c>
      <c r="D756" t="inlineStr">
        <is>
          <t>G1</t>
        </is>
      </c>
      <c r="E756" t="inlineStr">
        <is>
          <t>VENEZUELANOS</t>
        </is>
      </c>
      <c r="F756" t="inlineStr">
        <is>
          <t>PIAUÍ</t>
        </is>
      </c>
      <c r="G756" t="inlineStr">
        <is>
          <t>G1 PI</t>
        </is>
      </c>
      <c r="H756" t="inlineStr">
        <is>
          <t>PACIENTE VENEZUELANO É DIAGNOSTICADO COM MALÁRIA EM FLORIANO, NO PIAUÍ</t>
        </is>
      </c>
      <c r="I756" t="inlineStr">
        <is>
          <t>SEGUNDO A SECRETARIA DE SAÚDE DE FLORIANO, O PACIENTE TEM 27 ANOS E CHEGOU À CIDADE HÁ DUAS SEMANAS. O PACIENTE, A FAMÍLIA DELE E OS MORADORES DE CASAS VIZINHAS ESTÃO SENDO MONITORADOS PELAS EQUIPES DE SAÚDE DA CIDADE.</t>
        </is>
      </c>
      <c r="J756">
        <f>HYPERLINK("https://g1.globo.com/pi/piaui/noticia/2021/01/28/paciente-venezuelano-e-diagnosticado-com-malaria-em-floriano-no-piaui.ghtml", "URL")</f>
        <v/>
      </c>
      <c r="K756">
        <f>HYPERLINK("https://raw.githubusercontent.com/marcosmapl/dataset_imigrantes/main/noticias_filtered/g1/venezuelanos/2021/00_jan/html/g1_e7b9b64c-2321-11ed-b24f-6dbe51e79fca_3723.html", "HTML")</f>
        <v/>
      </c>
      <c r="L756">
        <f>HYPERLINK("https://raw.githubusercontent.com/marcosmapl/dataset_imigrantes/main/noticias_filtered/g1/venezuelanos/2021/00_jan/txt/g1_e7b9b64c-2321-11ed-b24f-6dbe51e79fca_3723.txt", "TXT")</f>
        <v/>
      </c>
    </row>
    <row r="757">
      <c r="A757" s="1" t="n">
        <v>755</v>
      </c>
      <c r="B757" t="n">
        <v>2021</v>
      </c>
      <c r="C757" s="2" t="n">
        <v>44223.44045138889</v>
      </c>
      <c r="D757" t="inlineStr">
        <is>
          <t>A CRITICA</t>
        </is>
      </c>
      <c r="E757" t="inlineStr">
        <is>
          <t>VENEZUELANOS</t>
        </is>
      </c>
      <c r="F757" t="inlineStr">
        <is>
          <t>SAUDE</t>
        </is>
      </c>
      <c r="G757" t="inlineStr">
        <is>
          <t>AGÊNCIA BRASIL</t>
        </is>
      </c>
      <c r="H757" t="inlineStr">
        <is>
          <t>GOVERNO IMPEDE ENTRADA DE ESTRANGEIROS NO PAÍS POR TERRA E ÁGUA</t>
        </is>
      </c>
      <c r="I757" t="inlineStr">
        <is>
          <t>VOOS VINDOS DO REINO UNIDO E ÁFRICA DO SUL TAMBÉM FORAM PROIBIDOS</t>
        </is>
      </c>
      <c r="J757">
        <f>HYPERLINK("https://www.acritica.com/saude/governo-impede-entrada-de-estrangeiros-no-pais-por-terra-e-agua-1.23880", "URL")</f>
        <v/>
      </c>
      <c r="K757">
        <f>HYPERLINK("https://raw.githubusercontent.com/marcosmapl/dataset_imigrantes/main/noticias_filtered/a_critica/venezuelanos/2021/00_jan/html/1.23880_559.html", "HTML")</f>
        <v/>
      </c>
      <c r="L757">
        <f>HYPERLINK("https://raw.githubusercontent.com/marcosmapl/dataset_imigrantes/main/noticias_filtered/a_critica/venezuelanos/2021/00_jan/txt/1.23880_559.txt", "TXT")</f>
        <v/>
      </c>
    </row>
    <row r="758">
      <c r="A758" s="1" t="n">
        <v>756</v>
      </c>
      <c r="B758" t="n">
        <v>2021</v>
      </c>
      <c r="C758" s="2" t="n">
        <v>44222.64425925926</v>
      </c>
      <c r="D758" t="inlineStr">
        <is>
          <t>A CRITICA</t>
        </is>
      </c>
      <c r="E758" t="inlineStr">
        <is>
          <t>VENEZUELANOS</t>
        </is>
      </c>
      <c r="F758" t="inlineStr">
        <is>
          <t>ENTRETENIMENTO</t>
        </is>
      </c>
      <c r="G758" t="inlineStr">
        <is>
          <t>PORTAL A CRÍTICA</t>
        </is>
      </c>
      <c r="H758" t="inlineStr">
        <is>
          <t>PEÇA VIRTUAL 'PRA TE FAZER LEMBRAR' SERÁ APRESENTADA NESTA SEXTA (29)</t>
        </is>
      </c>
      <c r="I758" t="inlineStr">
        <is>
          <t>OBRA SERÁ TRANSMITIDA POR MEIO DO INSTAGRAM @DANIELY.LIMA_ E ABORDA A SOLIDÃO E OS AFETOS DE UM HOMEM AO SAIR DO PAÍS DE ORIGEM</t>
        </is>
      </c>
      <c r="J758">
        <f>HYPERLINK("https://www.acritica.com/entretenimento/peca-virtual-pra-te-fazer-lembrar-sera-apresentada-nesta-sexta-29-1.24865", "URL")</f>
        <v/>
      </c>
      <c r="K758">
        <f>HYPERLINK("https://raw.githubusercontent.com/marcosmapl/dataset_imigrantes/main/noticias_filtered/a_critica/venezuelanos/2021/00_jan/html/1.24865_1359.html", "HTML")</f>
        <v/>
      </c>
      <c r="L758">
        <f>HYPERLINK("https://raw.githubusercontent.com/marcosmapl/dataset_imigrantes/main/noticias_filtered/a_critica/venezuelanos/2021/00_jan/txt/1.24865_1359.txt", "TXT")</f>
        <v/>
      </c>
    </row>
    <row r="759">
      <c r="A759" s="1" t="n">
        <v>757</v>
      </c>
      <c r="B759" t="n">
        <v>2021</v>
      </c>
      <c r="C759" s="2" t="n">
        <v>44218.81115487269</v>
      </c>
      <c r="D759" t="inlineStr">
        <is>
          <t>G1</t>
        </is>
      </c>
      <c r="E759" t="inlineStr">
        <is>
          <t>VENEZUELANOS</t>
        </is>
      </c>
      <c r="F759" t="inlineStr">
        <is>
          <t>PIAUÍ</t>
        </is>
      </c>
      <c r="G759" t="inlineStr">
        <is>
          <t>ANIELLE BRANDÃO E LAURA MOURA, G1 PI</t>
        </is>
      </c>
      <c r="H759" t="inlineStr">
        <is>
          <t>QUATRO PACIENTES VINDOS PARA O PIAUÍ RETORNAM PARA MANAUS; VENEZUELANO É BARRADO EM VOO</t>
        </is>
      </c>
      <c r="I759" t="inlineStr">
        <is>
          <t>O VENEZUELANO LEONARDO RAFAEL PEREZ COVA, 46 ANOS, FOI BARRADO NA AERONAVE POR ESTAR COM A DOCUMENTAÇÃO IRREGULAR. A SESAPI INFORMOU QUE REMARCOU O RETORNO DO VENEZUELANO PARA MANAUS (AM) NO SÁBADO (23).</t>
        </is>
      </c>
      <c r="J759">
        <f>HYPERLINK("https://g1.globo.com/pi/piaui/noticia/2021/01/22/quatro-pacientes-vindos-para-o-piaui-retornam-para-manaus-venezuelano-e-barrado-em-voo.ghtml", "URL")</f>
        <v/>
      </c>
      <c r="K759">
        <f>HYPERLINK("https://raw.githubusercontent.com/marcosmapl/dataset_imigrantes/main/noticias_filtered/g1/venezuelanos/2021/00_jan/html/g1_07cf9f7c-232d-11ed-b24f-6dbe51e79fca_4339.html", "HTML")</f>
        <v/>
      </c>
      <c r="L759">
        <f>HYPERLINK("https://raw.githubusercontent.com/marcosmapl/dataset_imigrantes/main/noticias_filtered/g1/venezuelanos/2021/00_jan/txt/g1_07cf9f7c-232d-11ed-b24f-6dbe51e79fca_4339.txt", "TXT")</f>
        <v/>
      </c>
    </row>
    <row r="760">
      <c r="A760" s="1" t="n">
        <v>758</v>
      </c>
      <c r="B760" t="n">
        <v>2021</v>
      </c>
      <c r="C760" s="2" t="n">
        <v>44216.86405092593</v>
      </c>
      <c r="D760" t="inlineStr">
        <is>
          <t>A CRITICA</t>
        </is>
      </c>
      <c r="E760" t="inlineStr">
        <is>
          <t>VENEZUELANOS</t>
        </is>
      </c>
      <c r="F760" t="inlineStr"/>
      <c r="G760" t="inlineStr">
        <is>
          <t>AFP</t>
        </is>
      </c>
      <c r="H760" t="inlineStr">
        <is>
          <t>BIDEN ASSUME PRESIDÊNCIA DOS EUA E HOMENAGEIA VÍTIMAS DA COVID-19</t>
        </is>
      </c>
      <c r="I760" t="inlineStr">
        <is>
          <t>EM SUA FALA, O POLÍTICO VETERANO AFIRMOU QUE OS ESTADOS UNIDOS ENFRENTAM "O SURGIMENTO DO EXTREMISMO POLÍTICO, A SUPREMACIA BRANCA, O TERRORISMO DOMÉSTICO", MAS AFIRMOU QUE ESTAS AMEAÇAS SERÃO DERROTADAS, EM REFERÊNCIA A DONALD TRUMP</t>
        </is>
      </c>
      <c r="J760">
        <f>HYPERLINK("https://www.acritica.com/biden-assume-presidencia-dos-eua-e-homenageia-vitimas-da-covid-19-1.24077", "URL")</f>
        <v/>
      </c>
      <c r="K760">
        <f>HYPERLINK("https://raw.githubusercontent.com/marcosmapl/dataset_imigrantes/main/noticias_filtered/a_critica/venezuelanos/2021/00_jan/html/1.24077_709.html", "HTML")</f>
        <v/>
      </c>
      <c r="L760">
        <f>HYPERLINK("https://raw.githubusercontent.com/marcosmapl/dataset_imigrantes/main/noticias_filtered/a_critica/venezuelanos/2021/00_jan/txt/1.24077_709.txt", "TXT")</f>
        <v/>
      </c>
    </row>
    <row r="761">
      <c r="A761" s="1" t="n">
        <v>759</v>
      </c>
      <c r="B761" t="n">
        <v>2021</v>
      </c>
      <c r="C761" s="2" t="n">
        <v>44216.79027777778</v>
      </c>
      <c r="D761" t="inlineStr">
        <is>
          <t>A CRITICA</t>
        </is>
      </c>
      <c r="E761" t="inlineStr">
        <is>
          <t>VENEZUELANOS</t>
        </is>
      </c>
      <c r="F761" t="inlineStr">
        <is>
          <t>SAUDE</t>
        </is>
      </c>
      <c r="G761" t="inlineStr">
        <is>
          <t>PORTAL A CRÍTICA</t>
        </is>
      </c>
      <c r="H761" t="inlineStr">
        <is>
          <t>VENEZUELA DEVE FORNECER 80 MIL M³ DE OXIGÊNIO POR SEMANA PARA MANAUS</t>
        </is>
      </c>
      <c r="I761" t="inlineStr">
        <is>
          <t>VOLUME EQUIVALE A 3 DIAS DE PRODUÇÃO DAS FÁBRICAS DE MANAUS QUE FORNECEM O INSUMO. ACORDO É LIDERADO POR CENTRAIS SINDICAIS, ENTRE ELAS A CUT, E É APOIADO PELO GOVERNO VENEZUELANO</t>
        </is>
      </c>
      <c r="J761">
        <f>HYPERLINK("https://www.acritica.com/saude/venezuela-deve-fornecer-80-mil-m-de-oxigenio-por-semana-para-manaus-1.24087", "URL")</f>
        <v/>
      </c>
      <c r="K761">
        <f>HYPERLINK("https://raw.githubusercontent.com/marcosmapl/dataset_imigrantes/main/noticias_filtered/a_critica/venezuelanos/2021/00_jan/html/1.24087_658.html", "HTML")</f>
        <v/>
      </c>
      <c r="L761">
        <f>HYPERLINK("https://raw.githubusercontent.com/marcosmapl/dataset_imigrantes/main/noticias_filtered/a_critica/venezuelanos/2021/00_jan/txt/1.24087_658.txt", "TXT")</f>
        <v/>
      </c>
    </row>
    <row r="762">
      <c r="A762" s="1" t="n">
        <v>760</v>
      </c>
      <c r="B762" t="n">
        <v>2021</v>
      </c>
      <c r="C762" s="2" t="n">
        <v>44216.45891177083</v>
      </c>
      <c r="D762" t="inlineStr">
        <is>
          <t>G1</t>
        </is>
      </c>
      <c r="E762" t="inlineStr">
        <is>
          <t>VENEZUELANOS</t>
        </is>
      </c>
      <c r="F762" t="inlineStr">
        <is>
          <t>RORAIMA</t>
        </is>
      </c>
      <c r="G762" t="inlineStr">
        <is>
          <t>G1 RR — BOA VISTA</t>
        </is>
      </c>
      <c r="H762" t="inlineStr">
        <is>
          <t>EM APOIO A ACOLHIDA, OIM AJUDA COM 10 MIL PASSAGENS PARA INTERIORIZAR VENEZUELANOS DE RORAIMA</t>
        </is>
      </c>
      <c r="I762" t="inlineStr">
        <is>
          <t>A ORGANIZAÇÃO INTERNACIONAL PARA AS MIGRAÇÕES (OIM) FORNECE 600 PASSAGENS AÉREAS TODOS OS MESES, PARA QUE MIGRANTES TENHAM OPORTUNIDADE DE RECOMEÇAR EM OUTROS ESTADOS DO PAÍS.</t>
        </is>
      </c>
      <c r="J762">
        <f>HYPERLINK("https://g1.globo.com/rr/roraima/noticia/2021/01/20/em-apoio-a-acolhida-oim-ajuda-com-10-mil-passagens-para-interiorizar-venezuelanos-de-roraima.ghtml", "URL")</f>
        <v/>
      </c>
      <c r="K762">
        <f>HYPERLINK("https://raw.githubusercontent.com/marcosmapl/dataset_imigrantes/main/noticias_filtered/g1/venezuelanos/2021/00_jan/html/g1_6554134e-2323-11ed-b24f-6dbe51e79fca_3804.html", "HTML")</f>
        <v/>
      </c>
      <c r="L762">
        <f>HYPERLINK("https://raw.githubusercontent.com/marcosmapl/dataset_imigrantes/main/noticias_filtered/g1/venezuelanos/2021/00_jan/txt/g1_6554134e-2323-11ed-b24f-6dbe51e79fca_3804.txt", "TXT")</f>
        <v/>
      </c>
    </row>
    <row r="763">
      <c r="A763" s="1" t="n">
        <v>761</v>
      </c>
      <c r="B763" t="n">
        <v>2021</v>
      </c>
      <c r="C763" s="2" t="n">
        <v>44216.07430555556</v>
      </c>
      <c r="D763" t="inlineStr">
        <is>
          <t>A CRITICA</t>
        </is>
      </c>
      <c r="E763" t="inlineStr">
        <is>
          <t>VENEZUELANOS</t>
        </is>
      </c>
      <c r="F763" t="inlineStr">
        <is>
          <t>SAUDE</t>
        </is>
      </c>
      <c r="G763" t="inlineStr">
        <is>
          <t>PORTAL A CRÍTICA</t>
        </is>
      </c>
      <c r="H763" t="inlineStr">
        <is>
          <t>OXIGÊNIO DOADO PELO GOVERNO DA VENEZUELA CHEGA EM MANAUS</t>
        </is>
      </c>
      <c r="I763" t="inlineStr">
        <is>
          <t>A CARGA FOI RECEBIDA POR FUNCIONÁRIOS DA PREFEITURA DE MANAUS E POR SERVIDORES DO GOVERNO DO AMAZONAS, E DEVE SEGUIR PARA UNIDADES DE SAÚDE NAS PRÓXIMAS HORAS</t>
        </is>
      </c>
      <c r="J763">
        <f>HYPERLINK("https://www.acritica.com/saude/oxigenio-doado-pelo-governo-da-venezuela-chega-em-manaus-1.25111", "URL")</f>
        <v/>
      </c>
      <c r="K763">
        <f>HYPERLINK("https://raw.githubusercontent.com/marcosmapl/dataset_imigrantes/main/noticias_filtered/a_critica/venezuelanos/2021/00_jan/html/1.25111_616.html", "HTML")</f>
        <v/>
      </c>
      <c r="L763">
        <f>HYPERLINK("https://raw.githubusercontent.com/marcosmapl/dataset_imigrantes/main/noticias_filtered/a_critica/venezuelanos/2021/00_jan/txt/1.25111_616.txt", "TXT")</f>
        <v/>
      </c>
    </row>
    <row r="764">
      <c r="A764" s="1" t="n">
        <v>762</v>
      </c>
      <c r="B764" t="n">
        <v>2021</v>
      </c>
      <c r="C764" s="2" t="n">
        <v>44214.99097222222</v>
      </c>
      <c r="D764" t="inlineStr">
        <is>
          <t>A CRITICA</t>
        </is>
      </c>
      <c r="E764" t="inlineStr">
        <is>
          <t>VENEZUELANOS</t>
        </is>
      </c>
      <c r="F764" t="inlineStr">
        <is>
          <t>SAUDE</t>
        </is>
      </c>
      <c r="G764" t="inlineStr">
        <is>
          <t>LARISSA CAVALCANTE</t>
        </is>
      </c>
      <c r="H764" t="inlineStr">
        <is>
          <t>MOVIMENTO PEDE VACINA PARA INDÍGENAS DAS CIDADES</t>
        </is>
      </c>
      <c r="I764" t="inlineStr">
        <is>
          <t>ATUALMENTE, APENAS INDÍGENAS ALDEADOS ESTÃO NO GRUPO QUE SERÃO IMUNIZADOS PRIMEIRO NO ESTADO</t>
        </is>
      </c>
      <c r="J764">
        <f>HYPERLINK("https://www.acritica.com/saude/movimento-pede-vacina-para-indigenas-das-cidades-1.25175", "URL")</f>
        <v/>
      </c>
      <c r="K764">
        <f>HYPERLINK("https://raw.githubusercontent.com/marcosmapl/dataset_imigrantes/main/noticias_filtered/a_critica/venezuelanos/2021/00_jan/html/1.25175_1209.html", "HTML")</f>
        <v/>
      </c>
      <c r="L764">
        <f>HYPERLINK("https://raw.githubusercontent.com/marcosmapl/dataset_imigrantes/main/noticias_filtered/a_critica/venezuelanos/2021/00_jan/txt/1.25175_1209.txt", "TXT")</f>
        <v/>
      </c>
    </row>
    <row r="765">
      <c r="A765" s="1" t="n">
        <v>763</v>
      </c>
      <c r="B765" t="n">
        <v>2021</v>
      </c>
      <c r="C765" s="2" t="n">
        <v>44214.77248842592</v>
      </c>
      <c r="D765" t="inlineStr">
        <is>
          <t>A CRITICA</t>
        </is>
      </c>
      <c r="E765" t="inlineStr">
        <is>
          <t>VENEZUELANOS</t>
        </is>
      </c>
      <c r="F765" t="inlineStr">
        <is>
          <t>SAUDE</t>
        </is>
      </c>
      <c r="G765" t="inlineStr">
        <is>
          <t>AFP</t>
        </is>
      </c>
      <c r="H765" t="inlineStr">
        <is>
          <t>OXIGÊNIO ENVIADO A MANAUS PELA VENEZUELA CRUZA FRONTEIRA COM O BRASIL</t>
        </is>
      </c>
      <c r="I765" t="inlineStr">
        <is>
          <t>COMBOIO COM MAIS DE CINCO CAMINHÕES AGUARDA O SINAL VERDE DO GOVERNO BRASILEIRO PARA SEGUIR ATÉ MANAUS. CIDADE VIVE CRISE NO ABASTECIMENTO DE OXIGÊNIO DEVIDO À PANDEMIA</t>
        </is>
      </c>
      <c r="J765">
        <f>HYPERLINK("https://www.acritica.com/saude/oxigenio-enviado-a-manaus-pela-venezuela-cruza-fronteira-com-o-brasil-1.24170", "URL")</f>
        <v/>
      </c>
      <c r="K765">
        <f>HYPERLINK("https://raw.githubusercontent.com/marcosmapl/dataset_imigrantes/main/noticias_filtered/a_critica/venezuelanos/2021/00_jan/html/1.24170_750.html", "HTML")</f>
        <v/>
      </c>
      <c r="L765">
        <f>HYPERLINK("https://raw.githubusercontent.com/marcosmapl/dataset_imigrantes/main/noticias_filtered/a_critica/venezuelanos/2021/00_jan/txt/1.24170_750.txt", "TXT")</f>
        <v/>
      </c>
    </row>
    <row r="766">
      <c r="A766" s="1" t="n">
        <v>764</v>
      </c>
      <c r="B766" t="n">
        <v>2021</v>
      </c>
      <c r="C766" s="2" t="n">
        <v>44214.61319444444</v>
      </c>
      <c r="D766" t="inlineStr">
        <is>
          <t>PORTAL AMAZONIA</t>
        </is>
      </c>
      <c r="E766" t="inlineStr">
        <is>
          <t>VENEZUELANOS</t>
        </is>
      </c>
      <c r="F766" t="inlineStr">
        <is>
          <t>AMAZONAS,CIDADES</t>
        </is>
      </c>
      <c r="G766" t="inlineStr">
        <is>
          <t>PORTAL AMAZÔNIA, COM INFORMAÇÕES DA AGÊNCIA BRASIL</t>
        </is>
      </c>
      <c r="H766" t="inlineStr">
        <is>
          <t>MP VAI INVESTIGAR MORTES POR FALTA DE OXIGÊNIO NO AMAZONAS</t>
        </is>
      </c>
      <c r="I766" t="inlineStr">
        <is>
          <t>SEGUNDO O MP, PROMOTORES VÃO COLETAR POSSÍVEIS EVIDÊNCIAS DE ATUAÇÃO CRIMINOSA ORGANIZADA E APONTAR SOLUÇÕES PARA A SITUAÇÃO</t>
        </is>
      </c>
      <c r="J766">
        <f>HYPERLINK("https://portalamazonia.com/estados/amazonas/mp-vai-investigar-mortes-por-falta-de-oxigenio-no-amazonas", "URL")</f>
        <v/>
      </c>
      <c r="K766">
        <f>HYPERLINK("https://raw.githubusercontent.com/marcosmapl/dataset_imigrantes/main/noticias_filtered/portal_amazonia/venezuelanos/2021/00_jan/html/30320.67871_1441.html", "HTML")</f>
        <v/>
      </c>
      <c r="L766">
        <f>HYPERLINK("https://raw.githubusercontent.com/marcosmapl/dataset_imigrantes/main/noticias_filtered/portal_amazonia/venezuelanos/2021/00_jan/txt/30320.67871_1441.txt", "TXT")</f>
        <v/>
      </c>
    </row>
    <row r="767">
      <c r="A767" s="1" t="n">
        <v>765</v>
      </c>
      <c r="B767" t="n">
        <v>2021</v>
      </c>
      <c r="C767" s="2" t="n">
        <v>44214.42479166666</v>
      </c>
      <c r="D767" t="inlineStr">
        <is>
          <t>A CRITICA</t>
        </is>
      </c>
      <c r="E767" t="inlineStr">
        <is>
          <t>VENEZUELANOS</t>
        </is>
      </c>
      <c r="F767" t="inlineStr">
        <is>
          <t>SAUDE</t>
        </is>
      </c>
      <c r="G767" t="inlineStr">
        <is>
          <t>PORTAL A CRÍTICA</t>
        </is>
      </c>
      <c r="H767" t="inlineStr">
        <is>
          <t>CARREGAMENTO COM OXIGÊNIO DA VENEZUELA DEVE CHEGAR AO AMAZONAS NESTA SEGUNDA-FEIRA À NOITE</t>
        </is>
      </c>
      <c r="I767" t="inlineStr">
        <is>
          <t>A DOAÇÃO VENEZUELANA VAI AJUDAR A ATENDER A GRANDE DEMANDA ATUAL NO AMAZONAS</t>
        </is>
      </c>
      <c r="J767">
        <f>HYPERLINK("https://www.acritica.com/saude/carregamento-com-oxigenio-da-venezuela-deve-chegar-ao-amazonas-nesta-segunda-feira-a-noite-1.24126", "URL")</f>
        <v/>
      </c>
      <c r="K767">
        <f>HYPERLINK("https://raw.githubusercontent.com/marcosmapl/dataset_imigrantes/main/noticias_filtered/a_critica/venezuelanos/2021/00_jan/html/1.24126_944.html", "HTML")</f>
        <v/>
      </c>
      <c r="L767">
        <f>HYPERLINK("https://raw.githubusercontent.com/marcosmapl/dataset_imigrantes/main/noticias_filtered/a_critica/venezuelanos/2021/00_jan/txt/1.24126_944.txt", "TXT")</f>
        <v/>
      </c>
    </row>
    <row r="768">
      <c r="A768" s="1" t="n">
        <v>766</v>
      </c>
      <c r="B768" t="n">
        <v>2021</v>
      </c>
      <c r="C768" s="2" t="n">
        <v>44214.34375</v>
      </c>
      <c r="D768" t="inlineStr">
        <is>
          <t>PORTAL AMAZONIA</t>
        </is>
      </c>
      <c r="E768" t="inlineStr">
        <is>
          <t>VENEZUELANOS</t>
        </is>
      </c>
      <c r="F768" t="inlineStr">
        <is>
          <t>AMAZONAS,SAÚDE</t>
        </is>
      </c>
      <c r="G768" t="inlineStr">
        <is>
          <t>REDAÇÃO - JORNALISMO@PORTALAMAZONIA.COM</t>
        </is>
      </c>
      <c r="H768" t="inlineStr">
        <is>
          <t>CARREGAMENTO COM OXIGÊNIO DA VENEZUELA DEVE CHEGAR AO AMAZONAS NESTA SEGUNDA-FEIRA À NOITE</t>
        </is>
      </c>
      <c r="I768" t="inlineStr">
        <is>
          <t>ATUALMENTE, O CONSUMO DIÁRIO NO AMAZONAS É DE 76.000M³ E A DOAÇÃO ESPONTÂNEA DO ESTADO DE BOLÍVAR VAI AJUDAR A ATENDER ESSA DEMANDA</t>
        </is>
      </c>
      <c r="J768">
        <f>HYPERLINK("https://portalamazonia.com/noticias/saude/carregamento-com-oxigenio-da-venezuela-deve-chegar-ao-amazonas-nesta-segunda-feira-a-noite", "URL")</f>
        <v/>
      </c>
      <c r="K768">
        <f>HYPERLINK("https://raw.githubusercontent.com/marcosmapl/dataset_imigrantes/main/noticias_filtered/portal_amazonia/venezuelanos/2021/00_jan/html/30310.67751_1473.html", "HTML")</f>
        <v/>
      </c>
      <c r="L768">
        <f>HYPERLINK("https://raw.githubusercontent.com/marcosmapl/dataset_imigrantes/main/noticias_filtered/portal_amazonia/venezuelanos/2021/00_jan/txt/30310.67751_1473.txt", "TXT")</f>
        <v/>
      </c>
    </row>
    <row r="769">
      <c r="A769" s="1" t="n">
        <v>767</v>
      </c>
      <c r="B769" t="n">
        <v>2021</v>
      </c>
      <c r="C769" s="2" t="n">
        <v>44213.75625</v>
      </c>
      <c r="D769" t="inlineStr">
        <is>
          <t>PORTAL AMAZONIA</t>
        </is>
      </c>
      <c r="E769" t="inlineStr">
        <is>
          <t>VENEZUELANOS</t>
        </is>
      </c>
      <c r="F769" t="inlineStr">
        <is>
          <t>AMAZONAS,NOTÍCIAS,CIDADES,SAÚDE</t>
        </is>
      </c>
      <c r="G769" t="inlineStr">
        <is>
          <t>PORTAL AMAZÔNIA, COM INFORMAÇÕES DO MINISTÉRIO DA SAÚDE</t>
        </is>
      </c>
      <c r="H769" t="inlineStr">
        <is>
          <t>DÉFICIT NO FORNECIMENTO DE OXIGÊNIO NO AMAZONAS REDUZ EM MAIS DE 60%</t>
        </is>
      </c>
      <c r="I769" t="inlineStr">
        <is>
          <t>PROBLEMA TENDE A SER RESOLVIDO ATE QUINTA-FEIRA (21)</t>
        </is>
      </c>
      <c r="J769">
        <f>HYPERLINK("https://portalamazonia.com/noticias/saude/deficit-de-excedente-no-fornecimento-de-oxigenio-no-amazonas-reduz-em-mais-de-60", "URL")</f>
        <v/>
      </c>
      <c r="K769">
        <f>HYPERLINK("https://raw.githubusercontent.com/marcosmapl/dataset_imigrantes/main/noticias_filtered/portal_amazonia/venezuelanos/2021/00_jan/html/30305.67738_1533.html", "HTML")</f>
        <v/>
      </c>
      <c r="L769">
        <f>HYPERLINK("https://raw.githubusercontent.com/marcosmapl/dataset_imigrantes/main/noticias_filtered/portal_amazonia/venezuelanos/2021/00_jan/txt/30305.67738_1533.txt", "TXT")</f>
        <v/>
      </c>
    </row>
    <row r="770">
      <c r="A770" s="1" t="n">
        <v>768</v>
      </c>
      <c r="B770" t="n">
        <v>2021</v>
      </c>
      <c r="C770" s="2" t="n">
        <v>44211.85511516203</v>
      </c>
      <c r="D770" t="inlineStr">
        <is>
          <t>G1</t>
        </is>
      </c>
      <c r="E770" t="inlineStr">
        <is>
          <t>HAITIANOS</t>
        </is>
      </c>
      <c r="F770" t="inlineStr">
        <is>
          <t>MATO GROSSO</t>
        </is>
      </c>
      <c r="G770" t="inlineStr">
        <is>
          <t>G1 MT</t>
        </is>
      </c>
      <c r="H770" t="inlineStr">
        <is>
          <t>HAITIANO ESTÁ DESAPARECIDO HÁ  9 DIAS EM CUIABÁ E ASSOCIAÇÃO DENUNCIA CASO À PM</t>
        </is>
      </c>
      <c r="I770" t="inlineStr">
        <is>
          <t>O IMIGRANTE HAITIANO STANLEY PIERRE ESTÁ DESAPARECIDO DESDE O DIA 7 DE JANEIRO EM CUIABÁ.</t>
        </is>
      </c>
      <c r="J770">
        <f>HYPERLINK("https://g1.globo.com/mt/mato-grosso/noticia/2021/01/15/haitiano-esta-desaparecido-ha-9-dias-em-cuiaba-e-associacao-denuncia-caso-a-pm.ghtml", "URL")</f>
        <v/>
      </c>
      <c r="K770">
        <f>HYPERLINK("https://raw.githubusercontent.com/marcosmapl/dataset_imigrantes/main/noticias_filtered/g1/haitianos/2021/00_jan/html/g1_3cfe9d34-22fa-11ed-b24f-6dbe51e79fca_2207.html", "HTML")</f>
        <v/>
      </c>
      <c r="L770">
        <f>HYPERLINK("https://raw.githubusercontent.com/marcosmapl/dataset_imigrantes/main/noticias_filtered/g1/haitianos/2021/00_jan/txt/g1_3cfe9d34-22fa-11ed-b24f-6dbe51e79fca_2207.txt", "TXT")</f>
        <v/>
      </c>
    </row>
    <row r="771">
      <c r="A771" s="1" t="n">
        <v>769</v>
      </c>
      <c r="B771" t="n">
        <v>2021</v>
      </c>
      <c r="C771" s="2" t="n">
        <v>44210.52916666667</v>
      </c>
      <c r="D771" t="inlineStr">
        <is>
          <t>PORTAL AMAZONIA</t>
        </is>
      </c>
      <c r="E771" t="inlineStr">
        <is>
          <t>VENEZUELANOS</t>
        </is>
      </c>
      <c r="F771" t="inlineStr">
        <is>
          <t>AMAZÔNIA INTERNACIONAL,CIDADANIA,INOVAÇÃO E TECNOLOGIA</t>
        </is>
      </c>
      <c r="G771" t="inlineStr">
        <is>
          <t>PORTAL AMAZÔNIA, COM INFORMAÇÕES DA EMPRESA BRASIL DE COMUNICAÇÃO DA</t>
        </is>
      </c>
      <c r="H771" t="inlineStr">
        <is>
          <t>ESPECIALISTA DO UNICEF EXPLICA COMO FUNCIONA PLATAFORMA PARA REFUGIADOS E MIGRANTES VENEZUELANOS</t>
        </is>
      </c>
      <c r="I771" t="inlineStr">
        <is>
          <t>SAIBA COMO FUNCIONA A FERRAMENTA U-REPORT UNIENDO VOCES</t>
        </is>
      </c>
      <c r="J771">
        <f>HYPERLINK("https://portalamazonia.com/noticias/cidadania/especialista-do-unicef-explica-como-funciona-plataforma-para-refugiados-e-migrantes-venezuelanos", "URL")</f>
        <v/>
      </c>
      <c r="K771">
        <f>HYPERLINK("https://raw.githubusercontent.com/marcosmapl/dataset_imigrantes/main/noticias_filtered/portal_amazonia/venezuelanos/2021/00_jan/html/30222.67429_1420.html", "HTML")</f>
        <v/>
      </c>
      <c r="L771">
        <f>HYPERLINK("https://raw.githubusercontent.com/marcosmapl/dataset_imigrantes/main/noticias_filtered/portal_amazonia/venezuelanos/2021/00_jan/txt/30222.67429_1420.txt", "TXT")</f>
        <v/>
      </c>
    </row>
    <row r="772">
      <c r="A772" s="1" t="n">
        <v>770</v>
      </c>
      <c r="B772" t="n">
        <v>2021</v>
      </c>
      <c r="C772" s="2" t="n">
        <v>44208.52688299768</v>
      </c>
      <c r="D772" t="inlineStr">
        <is>
          <t>G1</t>
        </is>
      </c>
      <c r="E772" t="inlineStr">
        <is>
          <t>VENEZUELANOS</t>
        </is>
      </c>
      <c r="F772" t="inlineStr">
        <is>
          <t>PERNAMBUCO</t>
        </is>
      </c>
      <c r="G772" t="inlineStr">
        <is>
          <t>DANIELLE FONSECA, TV GLOBO</t>
        </is>
      </c>
      <c r="H772" t="inlineStr">
        <is>
          <t>APÓS DIFICULDADES, VENEZUELANAS CONSEGUEM EMPREGO COMO ENCANADORAS NO GRANDE RECIFE</t>
        </is>
      </c>
      <c r="I772" t="inlineStr">
        <is>
          <t>YELITZA FLORES E KEILA RAMIREZ SAÍRAM DO PAÍS DE ORIGEM EM BUSCA DE VIDA MELHOR, MAS DESAFIOS QUASE FIZERAM COM QUE DESISTISSEM.</t>
        </is>
      </c>
      <c r="J772">
        <f>HYPERLINK("https://g1.globo.com/pe/pernambuco/noticia/2021/01/12/apos-dificuldades-venezuelanas-fazem-curso-e-conseguem-emprego-como-encanadoras-em-pernambuco.ghtml", "URL")</f>
        <v/>
      </c>
      <c r="K772">
        <f>HYPERLINK("https://raw.githubusercontent.com/marcosmapl/dataset_imigrantes/main/noticias_filtered/g1/venezuelanos/2021/00_jan/html/g1_4a4fb652-230a-11ed-b24f-6dbe51e79fca_2495.html", "HTML")</f>
        <v/>
      </c>
      <c r="L772">
        <f>HYPERLINK("https://raw.githubusercontent.com/marcosmapl/dataset_imigrantes/main/noticias_filtered/g1/venezuelanos/2021/00_jan/txt/g1_4a4fb652-230a-11ed-b24f-6dbe51e79fca_2495.txt", "TXT")</f>
        <v/>
      </c>
    </row>
    <row r="773">
      <c r="A773" s="1" t="n">
        <v>771</v>
      </c>
      <c r="B773" t="n">
        <v>2021</v>
      </c>
      <c r="C773" s="2" t="n">
        <v>44207.38468953704</v>
      </c>
      <c r="D773" t="inlineStr">
        <is>
          <t>G1</t>
        </is>
      </c>
      <c r="E773" t="inlineStr">
        <is>
          <t>VENEZUELANOS</t>
        </is>
      </c>
      <c r="F773" t="inlineStr">
        <is>
          <t>DISTRITO FEDERAL</t>
        </is>
      </c>
      <c r="G773" t="inlineStr">
        <is>
          <t>BRENDA ORTIZ, G1 DF</t>
        </is>
      </c>
      <c r="H773" t="inlineStr">
        <is>
          <t>PANDEMIA DE COVID-19 DIFICULTA ACOLHIDA DE REFUGIADOS VENEZUELANOS EM BRASÍLIA</t>
        </is>
      </c>
      <c r="I773" t="inlineStr">
        <is>
          <t>DE ACORDO COM INSTITUTO MIGRAÇÕES E DIREITOS HUMANOS, EM TORNO DE 2 MIL IMIGRANTES FORAM ATENDIDOS EM 2020. EMPREGO AINDA É PRINCIPAL BARREIRA, DIZEM INSTITUIÇÕES.</t>
        </is>
      </c>
      <c r="J773">
        <f>HYPERLINK("https://g1.globo.com/df/distrito-federal/noticia/2021/01/11/pandemia-de-covid-19-dificulta-acolhida-de-refugiados-venezuelanos-em-brasilia.ghtml", "URL")</f>
        <v/>
      </c>
      <c r="K773">
        <f>HYPERLINK("https://raw.githubusercontent.com/marcosmapl/dataset_imigrantes/main/noticias_filtered/g1/venezuelanos/2021/00_jan/html/g1_ddc3b654-231e-11ed-b24f-6dbe51e79fca_3588.html", "HTML")</f>
        <v/>
      </c>
      <c r="L773">
        <f>HYPERLINK("https://raw.githubusercontent.com/marcosmapl/dataset_imigrantes/main/noticias_filtered/g1/venezuelanos/2021/00_jan/txt/g1_ddc3b654-231e-11ed-b24f-6dbe51e79fca_3588.txt", "TXT")</f>
        <v/>
      </c>
    </row>
    <row r="774">
      <c r="A774" s="1" t="n">
        <v>772</v>
      </c>
      <c r="B774" t="n">
        <v>2021</v>
      </c>
      <c r="C774" s="2" t="n">
        <v>44206.83148480324</v>
      </c>
      <c r="D774" t="inlineStr">
        <is>
          <t>G1</t>
        </is>
      </c>
      <c r="E774" t="inlineStr">
        <is>
          <t>VENEZUELANOS</t>
        </is>
      </c>
      <c r="F774" t="inlineStr">
        <is>
          <t>RORAIMA</t>
        </is>
      </c>
      <c r="G774" t="inlineStr">
        <is>
          <t>G1 RR — BOA VISTA</t>
        </is>
      </c>
      <c r="H774" t="inlineStr">
        <is>
          <t>VOCÊ VIU? APOSENTADO APRESSADO, PRISÃO DE DELEGADO, VENEZUELANOS CARREGANDO CAIXÃO E MAIS</t>
        </is>
      </c>
      <c r="I774" t="inlineStr">
        <is>
          <t>VEJA AS NOTÍCIAS MAIS LIDAS NO G1 RORAIMA ENTRE OS DIAS 3 À 9 DE JANEIRO.</t>
        </is>
      </c>
      <c r="J774">
        <f>HYPERLINK("https://g1.globo.com/rr/roraima/noticia/2021/01/10/voce-viuaposentado-apressado-prisao-de-delegado-venezuelanos-carregando-caixao-e-mais.ghtml", "URL")</f>
        <v/>
      </c>
      <c r="K774">
        <f>HYPERLINK("https://raw.githubusercontent.com/marcosmapl/dataset_imigrantes/main/noticias_filtered/g1/venezuelanos/2021/00_jan/html/g1_4405f4d8-230e-11ed-b24f-6dbe51e79fca_2731.html", "HTML")</f>
        <v/>
      </c>
      <c r="L774">
        <f>HYPERLINK("https://raw.githubusercontent.com/marcosmapl/dataset_imigrantes/main/noticias_filtered/g1/venezuelanos/2021/00_jan/txt/g1_4405f4d8-230e-11ed-b24f-6dbe51e79fca_2731.txt", "TXT")</f>
        <v/>
      </c>
    </row>
    <row r="775">
      <c r="A775" s="1" t="n">
        <v>773</v>
      </c>
      <c r="B775" t="n">
        <v>2021</v>
      </c>
      <c r="C775" s="2" t="n">
        <v>44205.95950797453</v>
      </c>
      <c r="D775" t="inlineStr">
        <is>
          <t>G1</t>
        </is>
      </c>
      <c r="E775" t="inlineStr">
        <is>
          <t>VENEZUELANOS</t>
        </is>
      </c>
      <c r="F775" t="inlineStr">
        <is>
          <t>RORAIMA</t>
        </is>
      </c>
      <c r="G775" t="inlineStr">
        <is>
          <t>G1 RR — BOA VISTA</t>
        </is>
      </c>
      <c r="H775" t="inlineStr">
        <is>
          <t>JUSTIÇA DE RR ORDENA QUE CRIANÇAS VENEZUELANAS SEJAM ACOLHIDAS MESMO COM FRONTEIRA FECHADA</t>
        </is>
      </c>
      <c r="I775" t="inlineStr">
        <is>
          <t>A PORTARIA DETERMINA AINDA QUE SEJAM OFERTADOS OS SERVIÇOS DE SAÚDE DISPONÍVEIS, ESPECIALMENTE PROGRAMAS DE VACINAÇÃO. FRONTEIRA COM A VENEZUELA ESTÁ FECHADA DESDE MARÇO DE 2020 POR CONTA DA PANDEMIA.</t>
        </is>
      </c>
      <c r="J775">
        <f>HYPERLINK("https://g1.globo.com/rr/roraima/noticia/2021/01/09/justica-de-rr-ordena-que-criancas-venezuelanas-sejam-acolhidas-mesmo-com-fronteira-fechada.ghtml", "URL")</f>
        <v/>
      </c>
      <c r="K775">
        <f>HYPERLINK("https://raw.githubusercontent.com/marcosmapl/dataset_imigrantes/main/noticias_filtered/g1/venezuelanos/2021/00_jan/html/g1_e290cf24-231d-11ed-b24f-6dbe51e79fca_3526.html", "HTML")</f>
        <v/>
      </c>
      <c r="L775">
        <f>HYPERLINK("https://raw.githubusercontent.com/marcosmapl/dataset_imigrantes/main/noticias_filtered/g1/venezuelanos/2021/00_jan/txt/g1_e290cf24-231d-11ed-b24f-6dbe51e79fca_3526.txt", "TXT")</f>
        <v/>
      </c>
    </row>
    <row r="776">
      <c r="A776" s="1" t="n">
        <v>774</v>
      </c>
      <c r="B776" t="n">
        <v>2021</v>
      </c>
      <c r="C776" s="2" t="n">
        <v>44205.89894677083</v>
      </c>
      <c r="D776" t="inlineStr">
        <is>
          <t>G1</t>
        </is>
      </c>
      <c r="E776" t="inlineStr">
        <is>
          <t>VENEZUELANOS</t>
        </is>
      </c>
      <c r="F776" t="inlineStr">
        <is>
          <t>RORAIMA</t>
        </is>
      </c>
      <c r="G776" t="inlineStr">
        <is>
          <t>G1 RR — BOA VISTA</t>
        </is>
      </c>
      <c r="H776" t="inlineStr">
        <is>
          <t>BEBÊ VENEZUELANO É BALEADO NA CABEÇA EM TENTATIVA DE HOMICÍDIO CONTRA JOVEM EM BOA VISTA</t>
        </is>
      </c>
      <c r="I776" t="inlineStr">
        <is>
          <t>CRIANÇA DE APENAS 1 ANO FOI ENCAMINHADA AO HOSPITAL SANTO ANTÔNIO EM BOA VISTA. ESTADO DE SAÚDE DELA NÃO FOI INFORMADO. JOVEM ALVO DE ATIRADOR FOI FERIDO NO OMBRO, INFORMOU A PM.</t>
        </is>
      </c>
      <c r="J776">
        <f>HYPERLINK("https://g1.globo.com/rr/roraima/noticia/2021/01/09/bebe-venezuelano-e-baleado-na-cabeca-em-tentativa-de-homicidio-contra-jovem-em-boa-vista.ghtml", "URL")</f>
        <v/>
      </c>
      <c r="K776">
        <f>HYPERLINK("https://raw.githubusercontent.com/marcosmapl/dataset_imigrantes/main/noticias_filtered/g1/venezuelanos/2021/00_jan/html/g1_3dd8a928-230b-11ed-b24f-6dbe51e79fca_2554.html", "HTML")</f>
        <v/>
      </c>
      <c r="L776">
        <f>HYPERLINK("https://raw.githubusercontent.com/marcosmapl/dataset_imigrantes/main/noticias_filtered/g1/venezuelanos/2021/00_jan/txt/g1_3dd8a928-230b-11ed-b24f-6dbe51e79fca_2554.txt", "TXT")</f>
        <v/>
      </c>
    </row>
    <row r="777">
      <c r="A777" s="1" t="n">
        <v>775</v>
      </c>
      <c r="B777" t="n">
        <v>2021</v>
      </c>
      <c r="C777" s="2" t="n">
        <v>44205.4860899074</v>
      </c>
      <c r="D777" t="inlineStr">
        <is>
          <t>G1</t>
        </is>
      </c>
      <c r="E777" t="inlineStr">
        <is>
          <t>HAITIANOS</t>
        </is>
      </c>
      <c r="F777" t="inlineStr">
        <is>
          <t>CENTRO-OESTE</t>
        </is>
      </c>
      <c r="G777" t="inlineStr">
        <is>
          <t>G1 CENTRO-OESTE DE MINAS</t>
        </is>
      </c>
      <c r="H777" t="inlineStr">
        <is>
          <t>SAMU ATENDE CRIANÇA  DE 1 ANO COM QUEIMADURAS DE ÓLEO QUENTE EM DIVINÓPOLIS</t>
        </is>
      </c>
      <c r="I777" t="inlineStr">
        <is>
          <t>VÍTIMA TEVE QUEIMADURAS DE SEGUNDO E TERCEIRO GRAU EM PARTE DO ROSTO E NAS COSTAS. OCORRÊNCIA FOI REGISTRADA NESTA SEXTA-FEIRA (8).</t>
        </is>
      </c>
      <c r="J777">
        <f>HYPERLINK("https://g1.globo.com/mg/centro-oeste/noticia/2021/01/09/samu-atende-crianca-de-1-ano-com-queimaduras-de-oleo-quente-em-divinopolis.ghtml", "URL")</f>
        <v/>
      </c>
      <c r="K777">
        <f>HYPERLINK("https://raw.githubusercontent.com/marcosmapl/dataset_imigrantes/main/noticias_filtered/g1/haitianos/2021/00_jan/html/g1_f2279618-232a-11ed-b24f-6dbe51e79fca_4212.html", "HTML")</f>
        <v/>
      </c>
      <c r="L777">
        <f>HYPERLINK("https://raw.githubusercontent.com/marcosmapl/dataset_imigrantes/main/noticias_filtered/g1/haitianos/2021/00_jan/txt/g1_f2279618-232a-11ed-b24f-6dbe51e79fca_4212.txt", "TXT")</f>
        <v/>
      </c>
    </row>
    <row r="778">
      <c r="A778" s="1" t="n">
        <v>776</v>
      </c>
      <c r="B778" t="n">
        <v>2021</v>
      </c>
      <c r="C778" s="2" t="n">
        <v>44205.4170558912</v>
      </c>
      <c r="D778" t="inlineStr">
        <is>
          <t>G1</t>
        </is>
      </c>
      <c r="E778" t="inlineStr">
        <is>
          <t>VENEZUELANOS</t>
        </is>
      </c>
      <c r="F778" t="inlineStr">
        <is>
          <t>SÃO PAULO</t>
        </is>
      </c>
      <c r="G778" t="inlineStr">
        <is>
          <t>PATRÍCIA FIGUEIREDO, G1 SP — SÃO PAULO</t>
        </is>
      </c>
      <c r="H778" t="inlineStr">
        <is>
          <t>RESTAURANTES FAMOSOS DE SP VENDEM PRATO TÍPICO DA VENEZUELA PARA ARRECADAR FUNDOS PARA ONG DE INCLUSÃO DE IMIGRANTES</t>
        </is>
      </c>
      <c r="I778" t="inlineStr">
        <is>
          <t>METADE DO LUCRO PROVENIENTE DA VENDA DAS AREPAS, RECEITA TRADICIONAL VENEZUELANA, SERÁ REVERTIDA PARA ONG QUE PROMOVE INCLUSÃO SOCIOECONÔMICA DE REFUGIADOS E IMIGRANTES EM SP. TRINTA COZINHEIROS VENEZUELANOS PARTICIPARAM DA CRIAÇÃO DAS NOVAS VERSÕES DO PRATO, AO LADO DE CHEFS RENOMADOS DA CIDADE.</t>
        </is>
      </c>
      <c r="J778">
        <f>HYPERLINK("https://g1.globo.com/sp/sao-paulo/o-que-fazer-em-sao-paulo/noticia/2021/01/09/restaurantes-famosos-de-sp-vendem-prato-tipico-da-venezuela-para-arrecadar-fundos-para-ong-de-inclusao-de-imigrantes.ghtml", "URL")</f>
        <v/>
      </c>
      <c r="K778">
        <f>HYPERLINK("https://raw.githubusercontent.com/marcosmapl/dataset_imigrantes/main/noticias_filtered/g1/venezuelanos/2021/00_jan/html/g1_9b729940-231a-11ed-b24f-6dbe51e79fca_3344.html", "HTML")</f>
        <v/>
      </c>
      <c r="L778">
        <f>HYPERLINK("https://raw.githubusercontent.com/marcosmapl/dataset_imigrantes/main/noticias_filtered/g1/venezuelanos/2021/00_jan/txt/g1_9b729940-231a-11ed-b24f-6dbe51e79fca_3344.txt", "TXT")</f>
        <v/>
      </c>
    </row>
    <row r="779">
      <c r="A779" s="1" t="n">
        <v>777</v>
      </c>
      <c r="B779" t="n">
        <v>2021</v>
      </c>
      <c r="C779" s="2" t="n">
        <v>44205.41597222222</v>
      </c>
      <c r="D779" t="inlineStr">
        <is>
          <t>PORTAL AMAZONIA</t>
        </is>
      </c>
      <c r="E779" t="inlineStr">
        <is>
          <t>VENEZUELANOS</t>
        </is>
      </c>
      <c r="F779" t="inlineStr">
        <is>
          <t>RORAIMA,CIDADANIA</t>
        </is>
      </c>
      <c r="G779" t="inlineStr">
        <is>
          <t>PORTAL AMAZÔNIA COM INFORMAÇÕES DA AGÊNCIA BRASIL</t>
        </is>
      </c>
      <c r="H779" t="inlineStr">
        <is>
          <t>JUIZ FEDERAL BARRA DEPORTAÇÃO DE 55 INDÍGENAS WARAO VENEZUELANOS</t>
        </is>
      </c>
      <c r="I779" t="inlineStr">
        <is>
          <t>MAGISTRADO DO ESTADO DE RORAIMA DIZ QUE MEDIDA SERIA ATO DESUMANO E CRUEL</t>
        </is>
      </c>
      <c r="J779">
        <f>HYPERLINK("https://portalamazonia.com/noticias/cidadania/juiz-federal-barra-deportacao-de-55-indigenas-warao-venezuelanos", "URL")</f>
        <v/>
      </c>
      <c r="K779">
        <f>HYPERLINK("https://raw.githubusercontent.com/marcosmapl/dataset_imigrantes/main/noticias_filtered/portal_amazonia/venezuelanos/2021/00_jan/html/30114.66523_1442.html", "HTML")</f>
        <v/>
      </c>
      <c r="L779">
        <f>HYPERLINK("https://raw.githubusercontent.com/marcosmapl/dataset_imigrantes/main/noticias_filtered/portal_amazonia/venezuelanos/2021/00_jan/txt/30114.66523_1442.txt", "TXT")</f>
        <v/>
      </c>
    </row>
    <row r="780">
      <c r="A780" s="1" t="n">
        <v>778</v>
      </c>
      <c r="B780" t="n">
        <v>2021</v>
      </c>
      <c r="C780" s="2" t="n">
        <v>44205.00716535879</v>
      </c>
      <c r="D780" t="inlineStr">
        <is>
          <t>G1</t>
        </is>
      </c>
      <c r="E780" t="inlineStr">
        <is>
          <t>VENEZUELANOS</t>
        </is>
      </c>
      <c r="F780" t="inlineStr">
        <is>
          <t>RORAIMA</t>
        </is>
      </c>
      <c r="G780" t="inlineStr">
        <is>
          <t>VANESSA FERNANDES, G1 RR — BOA VISTA</t>
        </is>
      </c>
      <c r="H780" t="inlineStr">
        <is>
          <t>JUSTIÇA FEDERAL SUSPENDE DEPORTAÇÃO DE 55 INDÍGENAS VENEZUELANOS QUE ANDARAM POR 18 DIAS ATÉ RR</t>
        </is>
      </c>
      <c r="I780" t="inlineStr">
        <is>
          <t>NA DECISÃO, O JUIZ FEDERAL FELIPE BOUDAZA FLORES VIANA ENTENDEU QUE A DEPORTAÇÃO, BASEADA EM PORTARIA FEDERAL, VAI CONTRA A LEI DE IMIGRAÇÕES. TAMBÉM ESTIPULOU MULTA DE R$ 1 MILHÃO POR CADA INDÍGENA EVENTUALMENTE DEPORTADO.</t>
        </is>
      </c>
      <c r="J780">
        <f>HYPERLINK("https://g1.globo.com/rr/roraima/noticia/2021/01/08/justica-federal-suspende-deportacao-de-55-indigenas-venezuelanos-que-andaram-por-18-dias-em-rr.ghtml", "URL")</f>
        <v/>
      </c>
      <c r="K780">
        <f>HYPERLINK("https://raw.githubusercontent.com/marcosmapl/dataset_imigrantes/main/noticias_filtered/g1/venezuelanos/2021/00_jan/html/g1_45a88332-2309-11ed-b24f-6dbe51e79fca_2436.html", "HTML")</f>
        <v/>
      </c>
      <c r="L780">
        <f>HYPERLINK("https://raw.githubusercontent.com/marcosmapl/dataset_imigrantes/main/noticias_filtered/g1/venezuelanos/2021/00_jan/txt/g1_45a88332-2309-11ed-b24f-6dbe51e79fca_2436.txt", "TXT")</f>
        <v/>
      </c>
    </row>
    <row r="781">
      <c r="A781" s="1" t="n">
        <v>779</v>
      </c>
      <c r="B781" t="n">
        <v>2021</v>
      </c>
      <c r="C781" s="2" t="n">
        <v>44204.7382175926</v>
      </c>
      <c r="D781" t="inlineStr">
        <is>
          <t>A CRITICA</t>
        </is>
      </c>
      <c r="E781" t="inlineStr">
        <is>
          <t>VENEZUELANOS</t>
        </is>
      </c>
      <c r="F781" t="inlineStr"/>
      <c r="G781" t="inlineStr">
        <is>
          <t>AGÊNCIA BRASIL</t>
        </is>
      </c>
      <c r="H781" t="inlineStr">
        <is>
          <t>JUIZ FEDERAL BARRA DEPORTAÇÃO DE 55 INDÍGENAS WARAO VENEZUELANOS</t>
        </is>
      </c>
      <c r="I781" t="inlineStr">
        <is>
          <t>MAGISTRADO DIZ QUE MEDIDA SERIA ATO DESUMANO E CRUEL</t>
        </is>
      </c>
      <c r="J781">
        <f>HYPERLINK("https://www.acritica.com/juiz-federal-barra-deportac-o-de-55-indigenas-warao-venezuelanos-1.24422", "URL")</f>
        <v/>
      </c>
      <c r="K781">
        <f>HYPERLINK("https://raw.githubusercontent.com/marcosmapl/dataset_imigrantes/main/noticias_filtered/a_critica/venezuelanos/2021/00_jan/html/1.24422_1341.html", "HTML")</f>
        <v/>
      </c>
      <c r="L781">
        <f>HYPERLINK("https://raw.githubusercontent.com/marcosmapl/dataset_imigrantes/main/noticias_filtered/a_critica/venezuelanos/2021/00_jan/txt/1.24422_1341.txt", "TXT")</f>
        <v/>
      </c>
    </row>
    <row r="782">
      <c r="A782" s="1" t="n">
        <v>780</v>
      </c>
      <c r="B782" t="n">
        <v>2021</v>
      </c>
      <c r="C782" s="2" t="n">
        <v>44203.80268733796</v>
      </c>
      <c r="D782" t="inlineStr">
        <is>
          <t>G1</t>
        </is>
      </c>
      <c r="E782" t="inlineStr">
        <is>
          <t>VENEZUELANOS</t>
        </is>
      </c>
      <c r="F782" t="inlineStr">
        <is>
          <t>RORAIMA</t>
        </is>
      </c>
      <c r="G782" t="inlineStr">
        <is>
          <t>SUZANNE OLIVEIRA, G1 RR — BOA VISTA</t>
        </is>
      </c>
      <c r="H782" t="inlineStr">
        <is>
          <t>VENEZUELANOS CARREGAM NOS OMBROS CAIXÃO EM AVENIDA DE BOA VISTA; VEJA VÍDEO</t>
        </is>
      </c>
      <c r="I782" t="inlineStr">
        <is>
          <t>GRUPO ANDOU PELA ZONA SUL DA CIDADE COM O CORPO DO BARBEIRO EDWARD ANTÔNIO VILLAZANA, QUE MORREU AOS 30 ANOS APÓS DAR ENTRADA NO HOSPITAL VÍTIMA DE UM TIRO. SEGUNDO A ESPOSA E A FUNERÁRIA, CARREGAR O CAIXÃO ATÉ O CEMITÉRIO É UMA TRADIÇÃO DOS VENEZUELANOS QUE VIVEM NA CIDADE DE EL TIGRE.</t>
        </is>
      </c>
      <c r="J782">
        <f>HYPERLINK("https://g1.globo.com/rr/roraima/noticia/2021/01/07/venezuelanos-carregam-nos-ombros-caixao-em-avenida-de-boa-vista-veja-video.ghtml", "URL")</f>
        <v/>
      </c>
      <c r="K782">
        <f>HYPERLINK("https://raw.githubusercontent.com/marcosmapl/dataset_imigrantes/main/noticias_filtered/g1/venezuelanos/2021/00_jan/html/g1_c606dad4-2321-11ed-b24f-6dbe51e79fca_3717.html", "HTML")</f>
        <v/>
      </c>
      <c r="L782">
        <f>HYPERLINK("https://raw.githubusercontent.com/marcosmapl/dataset_imigrantes/main/noticias_filtered/g1/venezuelanos/2021/00_jan/txt/g1_c606dad4-2321-11ed-b24f-6dbe51e79fca_3717.txt", "TXT")</f>
        <v/>
      </c>
    </row>
    <row r="783">
      <c r="A783" s="1" t="n">
        <v>781</v>
      </c>
      <c r="B783" t="n">
        <v>2021</v>
      </c>
      <c r="C783" s="2" t="n">
        <v>44202.92405810185</v>
      </c>
      <c r="D783" t="inlineStr">
        <is>
          <t>G1</t>
        </is>
      </c>
      <c r="E783" t="inlineStr">
        <is>
          <t>VENEZUELANOS</t>
        </is>
      </c>
      <c r="F783" t="inlineStr">
        <is>
          <t>MUNDO</t>
        </is>
      </c>
      <c r="G783" t="inlineStr">
        <is>
          <t>G1</t>
        </is>
      </c>
      <c r="H783" t="inlineStr">
        <is>
          <t>UNIÃO EUROPEIA NÃO RECONHECE REPRESENTATIVIDADE DA NOVA ASSEMBLEIA NACIONAL VENEZUELANA</t>
        </is>
      </c>
      <c r="I783" t="inlineStr">
        <is>
          <t>NOVO PARLAMENTO TOMOU POSSE NESTA TERÇA (5) COM FORTE APOIO A MADURO E LEGITIMIDADE CONTESTADA PELA OPOSIÇÃO.</t>
        </is>
      </c>
      <c r="J783">
        <f>HYPERLINK("https://g1.globo.com/mundo/noticia/2021/01/06/uniao-europeia-nao-reconhece-representatividade-da-nova-assembleia-nacional-venezuelana.ghtml", "URL")</f>
        <v/>
      </c>
      <c r="K783">
        <f>HYPERLINK("https://raw.githubusercontent.com/marcosmapl/dataset_imigrantes/main/noticias_filtered/g1/venezuelanos/2021/00_jan/html/g1_247745aa-2317-11ed-b24f-6dbe51e79fca_3188.html", "HTML")</f>
        <v/>
      </c>
      <c r="L783">
        <f>HYPERLINK("https://raw.githubusercontent.com/marcosmapl/dataset_imigrantes/main/noticias_filtered/g1/venezuelanos/2021/00_jan/txt/g1_247745aa-2317-11ed-b24f-6dbe51e79fca_3188.txt", "TXT")</f>
        <v/>
      </c>
    </row>
    <row r="784">
      <c r="A784" s="1" t="n">
        <v>782</v>
      </c>
      <c r="B784" t="n">
        <v>2021</v>
      </c>
      <c r="C784" s="2" t="n">
        <v>44201.51214554398</v>
      </c>
      <c r="D784" t="inlineStr">
        <is>
          <t>G1</t>
        </is>
      </c>
      <c r="E784" t="inlineStr">
        <is>
          <t>VENEZUELANOS</t>
        </is>
      </c>
      <c r="F784" t="inlineStr">
        <is>
          <t>MUNDO</t>
        </is>
      </c>
      <c r="G784" t="inlineStr">
        <is>
          <t>G1</t>
        </is>
      </c>
      <c r="H784" t="inlineStr">
        <is>
          <t>NOVO PARLAMENTO VENEZUELANO TOMA POSSE NESTA TERÇA COM FORTE APOIO A MADURO</t>
        </is>
      </c>
      <c r="I784" t="inlineStr">
        <is>
          <t>ASSEMBLEIA NACIONAL FOI ELEITA EM DEZEMBRO APÓS UM PLEITO MARCADO POR ALTOS NÍVEIS DE ABSTENÇÃO E BOICOTE DA OPOSIÇÃO; CONGRESSO PASSARÁ A SER CONTROLADO POR ALIADOS DO PRESIDENTE NICOLÁS MADURO.</t>
        </is>
      </c>
      <c r="J784">
        <f>HYPERLINK("https://g1.globo.com/mundo/noticia/2021/01/05/novo-parlamento-venezuelano-toma-posse-nesta-terca-com-forte-apoio-a-maduro.ghtml", "URL")</f>
        <v/>
      </c>
      <c r="K784">
        <f>HYPERLINK("https://raw.githubusercontent.com/marcosmapl/dataset_imigrantes/main/noticias_filtered/g1/venezuelanos/2021/00_jan/html/g1_56316606-231d-11ed-b24f-6dbe51e79fca_3498.html", "HTML")</f>
        <v/>
      </c>
      <c r="L784">
        <f>HYPERLINK("https://raw.githubusercontent.com/marcosmapl/dataset_imigrantes/main/noticias_filtered/g1/venezuelanos/2021/00_jan/txt/g1_56316606-231d-11ed-b24f-6dbe51e79fca_3498.txt", "TXT")</f>
        <v/>
      </c>
    </row>
    <row r="785">
      <c r="A785" s="1" t="n">
        <v>783</v>
      </c>
      <c r="B785" t="n">
        <v>2021</v>
      </c>
      <c r="C785" s="2" t="n">
        <v>44200.53472222222</v>
      </c>
      <c r="D785" t="inlineStr">
        <is>
          <t>PORTAL AMAZONIA</t>
        </is>
      </c>
      <c r="E785" t="inlineStr">
        <is>
          <t>VENEZUELANOS</t>
        </is>
      </c>
      <c r="F785" t="inlineStr">
        <is>
          <t>RORAIMA,CIDADES</t>
        </is>
      </c>
      <c r="G785" t="inlineStr">
        <is>
          <t>PORTAL AMAZÔNIA, COM INFORMAÇÕES DO G1 RORAIMA</t>
        </is>
      </c>
      <c r="H785" t="inlineStr">
        <is>
          <t>RORAIMA REDUZ EM 21% O NÚMERO DE ASSASSINATOS ENTRE 2019 E 2020, DIZ GOVERNO</t>
        </is>
      </c>
      <c r="I785" t="inlineStr">
        <is>
          <t>BOA VISTA CONTINUA SENDO A CIDADE COM O MAIOR NÚMERO DE MORTES VIOLENTAS ENTRE OS MUNICÍPIOS, APESAR DA REDUÇÃO, CONFORME O GOVERNO. EM SEGUIDA, APARECEM MUCAJAÍ, CANTÁ, ALTO ALEGRE E RORAINÓPOLIS.</t>
        </is>
      </c>
      <c r="J785">
        <f>HYPERLINK("https://portalamazonia.com/noticias/cidades/roraima-reduz-em-21-o-numero-de-assassinatos-entre-2019-e-2020-diz-governo", "URL")</f>
        <v/>
      </c>
      <c r="K785">
        <f>HYPERLINK("https://raw.githubusercontent.com/marcosmapl/dataset_imigrantes/main/noticias_filtered/portal_amazonia/venezuelanos/2021/00_jan/html/30025.65926_1534.html", "HTML")</f>
        <v/>
      </c>
      <c r="L785">
        <f>HYPERLINK("https://raw.githubusercontent.com/marcosmapl/dataset_imigrantes/main/noticias_filtered/portal_amazonia/venezuelanos/2021/00_jan/txt/30025.65926_1534.txt", "TXT")</f>
        <v/>
      </c>
    </row>
    <row r="786">
      <c r="A786" s="1" t="n">
        <v>784</v>
      </c>
      <c r="B786" t="n">
        <v>2021</v>
      </c>
      <c r="C786" s="2" t="n">
        <v>44199.81280311343</v>
      </c>
      <c r="D786" t="inlineStr">
        <is>
          <t>G1</t>
        </is>
      </c>
      <c r="E786" t="inlineStr">
        <is>
          <t>VENEZUELANOS</t>
        </is>
      </c>
      <c r="F786" t="inlineStr">
        <is>
          <t>PIAUÍ</t>
        </is>
      </c>
      <c r="G786" t="inlineStr">
        <is>
          <t>G1 PI</t>
        </is>
      </c>
      <c r="H786" t="inlineStr">
        <is>
          <t>ABRIGOS DE VENEZUELANOS PASSAM A CONTAR COM A PRESENÇA DA GUARDA MUNICIPAL APÓS DENÚNCIAS</t>
        </is>
      </c>
      <c r="I786" t="inlineStr">
        <is>
          <t>A SECRETARIA DE ASSISTÊNCIA SOCIAL EXPLICOU QUE A DETERMINAÇÃO PARA A PRESENÇA DA GUARDA NOS CENTROS DE ACOLHIMENTO APÓS DENÚNCIA DE CONSUMO DE DROGAS ILÍCITAS NOS LOCAIS E ATÉ A PRESENÇA DE TRAFICANTES.</t>
        </is>
      </c>
      <c r="J786">
        <f>HYPERLINK("https://g1.globo.com/pi/piaui/noticia/2021/01/03/abrigos-de-venezuelanos-passam-a-contar-com-a-presenca-da-guarda-municipal-apos-denuncias.ghtml", "URL")</f>
        <v/>
      </c>
      <c r="K786">
        <f>HYPERLINK("https://raw.githubusercontent.com/marcosmapl/dataset_imigrantes/main/noticias_filtered/g1/venezuelanos/2021/00_jan/html/g1_023b1268-2327-11ed-b24f-6dbe51e79fca_4012.html", "HTML")</f>
        <v/>
      </c>
      <c r="L786">
        <f>HYPERLINK("https://raw.githubusercontent.com/marcosmapl/dataset_imigrantes/main/noticias_filtered/g1/venezuelanos/2021/00_jan/txt/g1_023b1268-2327-11ed-b24f-6dbe51e79fca_4012.txt", "TXT")</f>
        <v/>
      </c>
    </row>
    <row r="787">
      <c r="A787" s="1" t="n">
        <v>785</v>
      </c>
      <c r="B787" t="n">
        <v>2021</v>
      </c>
      <c r="C787" s="2" t="n">
        <v>44199.41678002315</v>
      </c>
      <c r="D787" t="inlineStr">
        <is>
          <t>G1</t>
        </is>
      </c>
      <c r="E787" t="inlineStr">
        <is>
          <t>VENEZUELANOS</t>
        </is>
      </c>
      <c r="F787" t="inlineStr">
        <is>
          <t>MINAS GERAIS</t>
        </is>
      </c>
      <c r="G787" t="inlineStr">
        <is>
          <t>THAIS PIMENTEL, G1 MINAS — BELO HORIZONTE</t>
        </is>
      </c>
      <c r="H787" t="inlineStr">
        <is>
          <t>EM MEIO À PREOCUPAÇÃO E À SAUDADE, REFUGIADOS VENEZUELANOS CONSEGUEM SE MANTER EM BH DURANTE A PANDEMIA</t>
        </is>
      </c>
      <c r="I787" t="inlineStr">
        <is>
          <t>APESAR DE MUITOS TEREM PERDIDO EMPREGO POR CAUSA DA CRISE PROVOCADA PELO CORONAVÍRUS, OUTROS CONSEGUIRAM SE REINVENTAR E ATÉ MESMO VER O SERVIÇO DOBRAR.</t>
        </is>
      </c>
      <c r="J787">
        <f>HYPERLINK("https://g1.globo.com/mg/minas-gerais/noticia/2021/01/03/em-meio-a-preocupacao-e-a-saudade-refugiados-venezuelanos-conseguem-se-manter-em-bh-durante-a-pandemia.ghtml", "URL")</f>
        <v/>
      </c>
      <c r="K787">
        <f>HYPERLINK("https://raw.githubusercontent.com/marcosmapl/dataset_imigrantes/main/noticias_filtered/g1/venezuelanos/2021/00_jan/html/g1_efbb8168-2308-11ed-b24f-6dbe51e79fca_2414.html", "HTML")</f>
        <v/>
      </c>
      <c r="L787">
        <f>HYPERLINK("https://raw.githubusercontent.com/marcosmapl/dataset_imigrantes/main/noticias_filtered/g1/venezuelanos/2021/00_jan/txt/g1_efbb8168-2308-11ed-b24f-6dbe51e79fca_2414.txt", "TXT")</f>
        <v/>
      </c>
    </row>
    <row r="788">
      <c r="A788" s="1" t="n">
        <v>786</v>
      </c>
      <c r="B788" t="n">
        <v>2021</v>
      </c>
      <c r="C788" s="2" t="n">
        <v>44198.77981671297</v>
      </c>
      <c r="D788" t="inlineStr">
        <is>
          <t>G1</t>
        </is>
      </c>
      <c r="E788" t="inlineStr">
        <is>
          <t>VENEZUELANOS</t>
        </is>
      </c>
      <c r="F788" t="inlineStr">
        <is>
          <t>MUNDO</t>
        </is>
      </c>
      <c r="G788" t="inlineStr">
        <is>
          <t>REUTERS</t>
        </is>
      </c>
      <c r="H788" t="inlineStr">
        <is>
          <t>MADURO VAI AUTORIZAR CONTAS EM MOEDA ESTRANGEIRA EM BANCOS VENEZUELANOS</t>
        </is>
      </c>
      <c r="I788" t="inlineStr">
        <is>
          <t>REGULAMENTAÇÃO NÃO AUTORIZA TRANSFERÊNCIAS DE DIVISAS DE PAÍSES DO EXTERIOR ENTRE BANCOS LOCAIS, OU OUTRAS OPERAÇÕES.</t>
        </is>
      </c>
      <c r="J788">
        <f>HYPERLINK("https://g1.globo.com/mundo/noticia/2021/01/02/maduro-vai-autorizar-contas-em-moeda-estrangeira-em-bancos-venezuelanos.ghtml", "URL")</f>
        <v/>
      </c>
      <c r="K788">
        <f>HYPERLINK("https://raw.githubusercontent.com/marcosmapl/dataset_imigrantes/main/noticias_filtered/g1/venezuelanos/2021/00_jan/html/g1_23538838-2316-11ed-b24f-6dbe51e79fca_3127.html", "HTML")</f>
        <v/>
      </c>
      <c r="L788">
        <f>HYPERLINK("https://raw.githubusercontent.com/marcosmapl/dataset_imigrantes/main/noticias_filtered/g1/venezuelanos/2021/00_jan/txt/g1_23538838-2316-11ed-b24f-6dbe51e79fca_3127.txt", "TXT")</f>
        <v/>
      </c>
    </row>
    <row r="789">
      <c r="A789" s="1" t="n">
        <v>787</v>
      </c>
      <c r="B789" t="n">
        <v>2021</v>
      </c>
      <c r="C789" s="2" t="n">
        <v>44197.63436304398</v>
      </c>
      <c r="D789" t="inlineStr">
        <is>
          <t>G1</t>
        </is>
      </c>
      <c r="E789" t="inlineStr">
        <is>
          <t>VENEZUELANOS</t>
        </is>
      </c>
      <c r="F789" t="inlineStr">
        <is>
          <t>RORAIMA</t>
        </is>
      </c>
      <c r="G789" t="inlineStr">
        <is>
          <t>G1 RR — BOA VISTA</t>
        </is>
      </c>
      <c r="H789" t="inlineStr">
        <is>
          <t>VENEZUELANO É ASSASSINADO ENQUANTO BEBIA COM AMIGOS EM PACARAIMA</t>
        </is>
      </c>
      <c r="I789" t="inlineStr">
        <is>
          <t>JESUS MAURICIO OPOZCO DIAMOND, DE 25 ANOS, ESTAVA COM UMA PERFURAÇÃO NO TÓRAX. ELE FOI LEVADO AO HOSPITAL NA VIATURA DA POLÍCIA MILITAR PORQUE A AMBULÂNCIA DO MUNICÍPIO ESTAVA SEM FAROL.</t>
        </is>
      </c>
      <c r="J789">
        <f>HYPERLINK("https://g1.globo.com/rr/roraima/noticia/2021/01/01/venezuelano-e-assassinado-enquanto-bebia-com-amigos-em-pacaraima.ghtml", "URL")</f>
        <v/>
      </c>
      <c r="K789">
        <f>HYPERLINK("https://raw.githubusercontent.com/marcosmapl/dataset_imigrantes/main/noticias_filtered/g1/venezuelanos/2021/00_jan/html/g1_2fa2b05c-2328-11ed-b24f-6dbe51e79fca_4066.html", "HTML")</f>
        <v/>
      </c>
      <c r="L789">
        <f>HYPERLINK("https://raw.githubusercontent.com/marcosmapl/dataset_imigrantes/main/noticias_filtered/g1/venezuelanos/2021/00_jan/txt/g1_2fa2b05c-2328-11ed-b24f-6dbe51e79fca_4066.txt", "TXT")</f>
        <v/>
      </c>
    </row>
    <row r="790">
      <c r="A790" s="1" t="n">
        <v>788</v>
      </c>
      <c r="B790" t="n">
        <v>2020</v>
      </c>
      <c r="C790" s="2" t="n">
        <v>44192.65149042824</v>
      </c>
      <c r="D790" t="inlineStr">
        <is>
          <t>G1</t>
        </is>
      </c>
      <c r="E790" t="inlineStr">
        <is>
          <t>VENEZUELANOS</t>
        </is>
      </c>
      <c r="F790" t="inlineStr">
        <is>
          <t>RORAIMA</t>
        </is>
      </c>
      <c r="G790" t="inlineStr">
        <is>
          <t>G1 RR — BOA VISTA</t>
        </is>
      </c>
      <c r="H790" t="inlineStr">
        <is>
          <t>VENEZUELANOS SÃO ASSASSINADOS A TIROS EM BOA VISTA</t>
        </is>
      </c>
      <c r="I790" t="inlineStr">
        <is>
          <t>OUTROS DOIS IMIGRANTES, DE 24 E 33 ANOS, FICARAM FERIDOS E FORAM LEVADOS AO HOSPITAL GERAL DE RORAIMA.</t>
        </is>
      </c>
      <c r="J790">
        <f>HYPERLINK("https://g1.globo.com/rr/roraima/noticia/2020/12/27/venezuelanos-sao-assassinados-a-tiros-em-boa-vista.ghtml", "URL")</f>
        <v/>
      </c>
      <c r="K790">
        <f>HYPERLINK("https://raw.githubusercontent.com/marcosmapl/dataset_imigrantes/main/noticias_filtered/g1/venezuelanos/2020/11_dez/html/g1_9084b67e-2312-11ed-b24f-6dbe51e79fca_2972.html", "HTML")</f>
        <v/>
      </c>
      <c r="L790">
        <f>HYPERLINK("https://raw.githubusercontent.com/marcosmapl/dataset_imigrantes/main/noticias_filtered/g1/venezuelanos/2020/11_dez/txt/g1_9084b67e-2312-11ed-b24f-6dbe51e79fca_2972.txt", "TXT")</f>
        <v/>
      </c>
    </row>
    <row r="791">
      <c r="A791" s="1" t="n">
        <v>789</v>
      </c>
      <c r="B791" t="n">
        <v>2020</v>
      </c>
      <c r="C791" s="2" t="n">
        <v>44191.74023899306</v>
      </c>
      <c r="D791" t="inlineStr">
        <is>
          <t>G1</t>
        </is>
      </c>
      <c r="E791" t="inlineStr">
        <is>
          <t>HAITIANOS</t>
        </is>
      </c>
      <c r="F791" t="inlineStr">
        <is>
          <t>MATO GROSSO</t>
        </is>
      </c>
      <c r="G791" t="inlineStr">
        <is>
          <t>G1 MT</t>
        </is>
      </c>
      <c r="H791" t="inlineStr">
        <is>
          <t>HAITIANO MORRE AFOGADO EM RIO DURANTE O NATAL EM CUIABÁ</t>
        </is>
      </c>
      <c r="I791" t="inlineStr">
        <is>
          <t>PETERSON DORCELUS ESTAVA COM UM AMIGO, TAMBÉM HAITIANO, QUE TENTOU SALVÁ-LO, MAS NÃO CONSEGUIU.</t>
        </is>
      </c>
      <c r="J791">
        <f>HYPERLINK("https://g1.globo.com/mt/mato-grosso/noticia/2020/12/26/haitiano-morre-afogado-em-rio-durante-o-natal-em-cuiaba.ghtml", "URL")</f>
        <v/>
      </c>
      <c r="K791">
        <f>HYPERLINK("https://raw.githubusercontent.com/marcosmapl/dataset_imigrantes/main/noticias_filtered/g1/haitianos/2020/11_dez/html/g1_e8c70da8-22ec-11ed-b24f-6dbe51e79fca_1672.html", "HTML")</f>
        <v/>
      </c>
      <c r="L791">
        <f>HYPERLINK("https://raw.githubusercontent.com/marcosmapl/dataset_imigrantes/main/noticias_filtered/g1/haitianos/2020/11_dez/txt/g1_e8c70da8-22ec-11ed-b24f-6dbe51e79fca_1672.txt", "TXT")</f>
        <v/>
      </c>
    </row>
    <row r="792">
      <c r="A792" s="1" t="n">
        <v>790</v>
      </c>
      <c r="B792" t="n">
        <v>2020</v>
      </c>
      <c r="C792" s="2" t="n">
        <v>44190.63482381945</v>
      </c>
      <c r="D792" t="inlineStr">
        <is>
          <t>G1</t>
        </is>
      </c>
      <c r="E792" t="inlineStr">
        <is>
          <t>VENEZUELANOS</t>
        </is>
      </c>
      <c r="F792" t="inlineStr">
        <is>
          <t>RORAIMA</t>
        </is>
      </c>
      <c r="G792" t="inlineStr">
        <is>
          <t>G1 RR — BOA VISTA</t>
        </is>
      </c>
      <c r="H792" t="inlineStr">
        <is>
          <t>ADOLESCENTE VENEZUELANO É MORTO A TIROS EM BOA VISTA</t>
        </is>
      </c>
      <c r="I792" t="inlineStr">
        <is>
          <t>DE ACORDO COM A POLÍCIA MILITAR (PM), A VÍTIMA FOI ATINGIDA POR AO MENOS TRÊS DISPAROS, NAS REGIÕES PÉLVICA, TÓRAX E CABEÇA.</t>
        </is>
      </c>
      <c r="J792">
        <f>HYPERLINK("https://g1.globo.com/rr/roraima/noticia/2020/12/25/adolescente-venezuelano-e-morto-a-tiros-em-boa-vista.ghtml", "URL")</f>
        <v/>
      </c>
      <c r="K792">
        <f>HYPERLINK("https://raw.githubusercontent.com/marcosmapl/dataset_imigrantes/main/noticias_filtered/g1/venezuelanos/2020/11_dez/html/g1_3eb330ca-2324-11ed-b24f-6dbe51e79fca_3858.html", "HTML")</f>
        <v/>
      </c>
      <c r="L792">
        <f>HYPERLINK("https://raw.githubusercontent.com/marcosmapl/dataset_imigrantes/main/noticias_filtered/g1/venezuelanos/2020/11_dez/txt/g1_3eb330ca-2324-11ed-b24f-6dbe51e79fca_3858.txt", "TXT")</f>
        <v/>
      </c>
    </row>
    <row r="793">
      <c r="A793" s="1" t="n">
        <v>791</v>
      </c>
      <c r="B793" t="n">
        <v>2020</v>
      </c>
      <c r="C793" s="2" t="n">
        <v>44190.03178240741</v>
      </c>
      <c r="D793" t="inlineStr">
        <is>
          <t>A CRITICA</t>
        </is>
      </c>
      <c r="E793" t="inlineStr">
        <is>
          <t>VENEZUELANOS</t>
        </is>
      </c>
      <c r="F793" t="inlineStr">
        <is>
          <t>ESPORTES</t>
        </is>
      </c>
      <c r="G793" t="inlineStr">
        <is>
          <t>DANIEL PRESTES</t>
        </is>
      </c>
      <c r="H793" t="inlineStr">
        <is>
          <t>PROJETO QUE UNE O SOFTBOL E AÇÕES SOCIAIS PROMOVE EVENTO EM MANAUS</t>
        </is>
      </c>
      <c r="I793" t="inlineStr">
        <is>
          <t>CONHEÇA O GRUPO DE VENEZUELANOS QUE USA DO ESPORTE PARA UNIR SEUS CONTERRÂNEOS E REALIZAR TRABALHO SOCIAL</t>
        </is>
      </c>
      <c r="J793">
        <f>HYPERLINK("https://www.acritica.com/esportes/projeto-que-une-o-softbol-e-ac-es-sociais-promove-evento-em-manaus-1.26617", "URL")</f>
        <v/>
      </c>
      <c r="K793">
        <f>HYPERLINK("https://raw.githubusercontent.com/marcosmapl/dataset_imigrantes/main/noticias_filtered/a_critica/venezuelanos/2020/11_dez/html/1.26617_867.html", "HTML")</f>
        <v/>
      </c>
      <c r="L793">
        <f>HYPERLINK("https://raw.githubusercontent.com/marcosmapl/dataset_imigrantes/main/noticias_filtered/a_critica/venezuelanos/2020/11_dez/txt/1.26617_867.txt", "TXT")</f>
        <v/>
      </c>
    </row>
    <row r="794">
      <c r="A794" s="1" t="n">
        <v>792</v>
      </c>
      <c r="B794" t="n">
        <v>2020</v>
      </c>
      <c r="C794" s="2" t="n">
        <v>44189.54104974537</v>
      </c>
      <c r="D794" t="inlineStr">
        <is>
          <t>G1</t>
        </is>
      </c>
      <c r="E794" t="inlineStr">
        <is>
          <t>VENEZUELANOS</t>
        </is>
      </c>
      <c r="F794" t="inlineStr">
        <is>
          <t>AMAZONAS</t>
        </is>
      </c>
      <c r="G794" t="inlineStr">
        <is>
          <t>G1 AM</t>
        </is>
      </c>
      <c r="H794" t="inlineStr">
        <is>
          <t>STJ MANTÉM DECISÃO QUE DETERMINOU FORNECIMENTO DE ALIMENTAÇÃO A VENEZUELANOS EM MANAUS</t>
        </is>
      </c>
      <c r="I794" t="inlineStr">
        <is>
          <t>SEGUNDO MINISTRO, MUNICÍPIO NÃO COMPROVOU QUE A DETERMINAÇÃO REPRESENTARIA GRAVE LESÃO À ECONOMIA PÚBLICA.</t>
        </is>
      </c>
      <c r="J794">
        <f>HYPERLINK("https://g1.globo.com/am/amazonas/noticia/2020/12/24/stj-mantem-decisao-que-determinou-fornecimento-de-alimentacao-a-venezuelanos-em-manaus.ghtml", "URL")</f>
        <v/>
      </c>
      <c r="K794">
        <f>HYPERLINK("https://raw.githubusercontent.com/marcosmapl/dataset_imigrantes/main/noticias_filtered/g1/venezuelanos/2020/11_dez/html/g1_7bb2f7d4-2311-11ed-b24f-6dbe51e79fca_2917.html", "HTML")</f>
        <v/>
      </c>
      <c r="L794">
        <f>HYPERLINK("https://raw.githubusercontent.com/marcosmapl/dataset_imigrantes/main/noticias_filtered/g1/venezuelanos/2020/11_dez/txt/g1_7bb2f7d4-2311-11ed-b24f-6dbe51e79fca_2917.txt", "TXT")</f>
        <v/>
      </c>
    </row>
    <row r="795">
      <c r="A795" s="1" t="n">
        <v>793</v>
      </c>
      <c r="B795" t="n">
        <v>2020</v>
      </c>
      <c r="C795" s="2" t="n">
        <v>44189.38541666666</v>
      </c>
      <c r="D795" t="inlineStr">
        <is>
          <t>PORTAL AMAZONIA</t>
        </is>
      </c>
      <c r="E795" t="inlineStr">
        <is>
          <t>VENEZUELANOS</t>
        </is>
      </c>
      <c r="F795" t="inlineStr">
        <is>
          <t>AMAZÔNIA INTERNACIONAL,NOTÍCIAS,CIDADES</t>
        </is>
      </c>
      <c r="G795" t="inlineStr">
        <is>
          <t>PORTAL AMAZÔNIA, COM INFORMAÇÕES DA AGÊNCIA BRASIL</t>
        </is>
      </c>
      <c r="H795" t="inlineStr">
        <is>
          <t>MINISTÉRIO DA JUSTIÇA CONCLUI ANÁLISE DE 100 MIL PEDIDOS DE REFÚGIO; VENEZUELANOS LIDERAM</t>
        </is>
      </c>
      <c r="I795" t="inlineStr">
        <is>
          <t>OS CIDADÃOS VENEZUELANOS REPRESENTAM A QUASE TOTALIDADE DOS PEDIDOS, COM 46.641 RECONHECIMENTOS.</t>
        </is>
      </c>
      <c r="J795">
        <f>HYPERLINK("https://portalamazonia.com/noticias/cidades/ministerio-da-justica-conclui-analise-de-100-mil-pedidos-de-refugio-venezuelanos-lideram", "URL")</f>
        <v/>
      </c>
      <c r="K795">
        <f>HYPERLINK("https://raw.githubusercontent.com/marcosmapl/dataset_imigrantes/main/noticias_filtered/portal_amazonia/venezuelanos/2020/11_dez/html/29870.65388_1556.html", "HTML")</f>
        <v/>
      </c>
      <c r="L795">
        <f>HYPERLINK("https://raw.githubusercontent.com/marcosmapl/dataset_imigrantes/main/noticias_filtered/portal_amazonia/venezuelanos/2020/11_dez/txt/29870.65388_1556.txt", "TXT")</f>
        <v/>
      </c>
    </row>
    <row r="796">
      <c r="A796" s="1" t="n">
        <v>794</v>
      </c>
      <c r="B796" t="n">
        <v>2020</v>
      </c>
      <c r="C796" s="2" t="n">
        <v>44188.71460620371</v>
      </c>
      <c r="D796" t="inlineStr">
        <is>
          <t>G1</t>
        </is>
      </c>
      <c r="E796" t="inlineStr">
        <is>
          <t>VENEZUELANOS</t>
        </is>
      </c>
      <c r="F796" t="inlineStr">
        <is>
          <t>MUNDO</t>
        </is>
      </c>
      <c r="G796" t="inlineStr">
        <is>
          <t>RFI</t>
        </is>
      </c>
      <c r="H796" t="inlineStr">
        <is>
          <t>COLÔMBIA EXCLUIRÁ VENEZUELANOS EM SITUAÇÃO IRREGULAR DA VACINAÇÃO CONTRA COVID-19</t>
        </is>
      </c>
      <c r="I796" t="inlineStr">
        <is>
          <t>EM JANEIRO, PESSOAS COM MAIS DE 80 ANOS E PROFISSIONAIS DE SAÚDE NA LINHA DE FRENTE DA LUTA CONTRA O CORONAVÍRUS SERÃO OS PRIMEIROS GRUPOS POPULACIONAIS A RECEBEREM A VACINA. EM SEGUIDA, AS DOSES SERÃO GENERALIZADAS PARA TODA A POPULAÇÃO DA COLÔMBIA, EM VÁRIAS ETAPAS.</t>
        </is>
      </c>
      <c r="J796">
        <f>HYPERLINK("https://g1.globo.com/mundo/noticia/2020/12/23/colombia-excluira-venezuelanos-em-situacao-irregular-da-vacinacao-contra-covid-19.ghtml", "URL")</f>
        <v/>
      </c>
      <c r="K796">
        <f>HYPERLINK("https://raw.githubusercontent.com/marcosmapl/dataset_imigrantes/main/noticias_filtered/g1/venezuelanos/2020/11_dez/html/g1_5f1d8bc2-230a-11ed-b24f-6dbe51e79fca_2501.html", "HTML")</f>
        <v/>
      </c>
      <c r="L796">
        <f>HYPERLINK("https://raw.githubusercontent.com/marcosmapl/dataset_imigrantes/main/noticias_filtered/g1/venezuelanos/2020/11_dez/txt/g1_5f1d8bc2-230a-11ed-b24f-6dbe51e79fca_2501.txt", "TXT")</f>
        <v/>
      </c>
    </row>
    <row r="797">
      <c r="A797" s="1" t="n">
        <v>795</v>
      </c>
      <c r="B797" t="n">
        <v>2020</v>
      </c>
      <c r="C797" s="2" t="n">
        <v>44188.48194444444</v>
      </c>
      <c r="D797" t="inlineStr">
        <is>
          <t>PORTAL AMAZONIA</t>
        </is>
      </c>
      <c r="E797" t="inlineStr">
        <is>
          <t>VENEZUELANOS</t>
        </is>
      </c>
      <c r="F797" t="inlineStr">
        <is>
          <t>AMAZÔNIA INTERNACIONAL,NOTÍCIAS,CIDADANIA,MULHER</t>
        </is>
      </c>
      <c r="G797" t="inlineStr">
        <is>
          <t>PORTAL AMAZÔNIA, COM INFORMAÇÕES DA AGÊNCIA ACNUR</t>
        </is>
      </c>
      <c r="H797" t="inlineStr">
        <is>
          <t>JOALHEIRA VENEZUELANA SUPERA DESAFIOS DA DEFICIÊNCIA E RECOMEÇA NO EXÍLIO</t>
        </is>
      </c>
      <c r="I797" t="inlineStr">
        <is>
          <t>A DISCRIMINAÇÃO E OS OBSTÁCULOS NO ACESSO À EDUCAÇÃO, SAÚDE E TRABALHO FAZEM COM QUE O RECOMEÇO DE PESSOAS REFUGIADAS COM DEFICIÊNCIA SEJA AINDA MAIS DIFÍCIL.</t>
        </is>
      </c>
      <c r="J797">
        <f>HYPERLINK("https://portalamazonia.com/noticias/mulher/joalheira-venezuelana-supera-desafios-da-deficiencia-e-recomeca-no-exilio", "URL")</f>
        <v/>
      </c>
      <c r="K797">
        <f>HYPERLINK("https://raw.githubusercontent.com/marcosmapl/dataset_imigrantes/main/noticias_filtered/portal_amazonia/venezuelanos/2020/11_dez/html/29852.65415_1454.html", "HTML")</f>
        <v/>
      </c>
      <c r="L797">
        <f>HYPERLINK("https://raw.githubusercontent.com/marcosmapl/dataset_imigrantes/main/noticias_filtered/portal_amazonia/venezuelanos/2020/11_dez/txt/29852.65415_1454.txt", "TXT")</f>
        <v/>
      </c>
    </row>
    <row r="798">
      <c r="A798" s="1" t="n">
        <v>796</v>
      </c>
      <c r="B798" t="n">
        <v>2020</v>
      </c>
      <c r="C798" s="2" t="n">
        <v>44188.43801971065</v>
      </c>
      <c r="D798" t="inlineStr">
        <is>
          <t>G1</t>
        </is>
      </c>
      <c r="E798" t="inlineStr">
        <is>
          <t>VENEZUELANOS</t>
        </is>
      </c>
      <c r="F798" t="inlineStr">
        <is>
          <t>RORAIMA</t>
        </is>
      </c>
      <c r="G798" t="inlineStr">
        <is>
          <t>G1 RR — BOA VISTA</t>
        </is>
      </c>
      <c r="H798" t="inlineStr">
        <is>
          <t>CÁRITAS DISTRIBUI KITS DE HIGIENE E LIMPEZA PARA VENEZUELANOS EM SITUAÇÃO DE RUA EM RORAIMA</t>
        </is>
      </c>
      <c r="I798" t="inlineStr">
        <is>
          <t>AÇÃO FAZ PARTE DAS MEDIDAS CONTRA A DISSEMINAÇÃO DO CORONAVÍRUS E DEVE ATENDER 850 FAMÍLIAS DE OCUPAÇÕES ESPONTÂNEAS E MIL MIGRANTES ABRIGADOS NA RODOVIÁRIA, EM BOA VISTA.</t>
        </is>
      </c>
      <c r="J798">
        <f>HYPERLINK("https://g1.globo.com/rr/roraima/noticia/2020/12/23/caritas-distribui-kits-de-higiene-e-limpeza-para-venezuelanos-em-situacao-de-rua-em-roraima.ghtml", "URL")</f>
        <v/>
      </c>
      <c r="K798">
        <f>HYPERLINK("https://raw.githubusercontent.com/marcosmapl/dataset_imigrantes/main/noticias_filtered/g1/venezuelanos/2020/11_dez/html/g1_862274d4-230b-11ed-b24f-6dbe51e79fca_2568.html", "HTML")</f>
        <v/>
      </c>
      <c r="L798">
        <f>HYPERLINK("https://raw.githubusercontent.com/marcosmapl/dataset_imigrantes/main/noticias_filtered/g1/venezuelanos/2020/11_dez/txt/g1_862274d4-230b-11ed-b24f-6dbe51e79fca_2568.txt", "TXT")</f>
        <v/>
      </c>
    </row>
    <row r="799">
      <c r="A799" s="1" t="n">
        <v>797</v>
      </c>
      <c r="B799" t="n">
        <v>2020</v>
      </c>
      <c r="C799" s="2" t="n">
        <v>44187.38888888889</v>
      </c>
      <c r="D799" t="inlineStr">
        <is>
          <t>PORTAL AMAZONIA</t>
        </is>
      </c>
      <c r="E799" t="inlineStr">
        <is>
          <t>VENEZUELANOS</t>
        </is>
      </c>
      <c r="F799" t="inlineStr">
        <is>
          <t>NOTÍCIAS,CIDADES,EDUCAÇÃO</t>
        </is>
      </c>
      <c r="G799" t="inlineStr">
        <is>
          <t>PORTAL AMAZÔNIA, COM INFORMAÇÕES DA AGÊNCIA BELÉM</t>
        </is>
      </c>
      <c r="H799" t="inlineStr">
        <is>
          <t>INDÍGENAS VENEZUELANOS QUE VIVEM EM BELÉM SÃO APROVADOS EM PROCESSO SELETIVO DA UFPA</t>
        </is>
      </c>
      <c r="I799" t="inlineStr">
        <is>
          <t>O PROCESSO SELETIVO FOI ESPECÍFICO PARA REFUGIADOS DE ORIGEM COM VISTO HUMANITÁRIO OU IMIGRANTES, PESSOAS EM ASILO, APÁTRIDAS E VÍTIMAS DE TRÁFICO DE PESSOAS EM SITUAÇÃO DE VULNERABILIDADE SOCIOECONÔMICA.</t>
        </is>
      </c>
      <c r="J799">
        <f>HYPERLINK("https://portalamazonia.com/noticias/educacao/indigenas-venezuelanos-que-vivem-em-belem-sao-aprovados-em-processo-seletivo-da-ufpa", "URL")</f>
        <v/>
      </c>
      <c r="K799">
        <f>HYPERLINK("https://raw.githubusercontent.com/marcosmapl/dataset_imigrantes/main/noticias_filtered/portal_amazonia/venezuelanos/2020/11_dez/html/29842.65329_1593.html", "HTML")</f>
        <v/>
      </c>
      <c r="L799">
        <f>HYPERLINK("https://raw.githubusercontent.com/marcosmapl/dataset_imigrantes/main/noticias_filtered/portal_amazonia/venezuelanos/2020/11_dez/txt/29842.65329_1593.txt", "TXT")</f>
        <v/>
      </c>
    </row>
    <row r="800">
      <c r="A800" s="1" t="n">
        <v>798</v>
      </c>
      <c r="B800" t="n">
        <v>2020</v>
      </c>
      <c r="C800" s="2" t="n">
        <v>44186.40555555555</v>
      </c>
      <c r="D800" t="inlineStr">
        <is>
          <t>PORTAL AMAZONIA</t>
        </is>
      </c>
      <c r="E800" t="inlineStr">
        <is>
          <t>VENEZUELANOS</t>
        </is>
      </c>
      <c r="F800" t="inlineStr">
        <is>
          <t>PARÁ,NOTÍCIAS,CIDADES</t>
        </is>
      </c>
      <c r="G800" t="inlineStr">
        <is>
          <t>PORTAL AMAZÔNIA, COM INFORMAÇÕES DA AGÊNCIA BELÉM</t>
        </is>
      </c>
      <c r="H800" t="inlineStr">
        <is>
          <t>EM BELÉM, REFUGIADOS VENEZUELANOS SE CASAM EM CERIMÔNIA COMUNITÁRIA</t>
        </is>
      </c>
      <c r="I800" t="inlineStr">
        <is>
          <t>O ESPAÇO DE ACOLHIMENTO DA ETNIA WARAO SE TORNOU UM LOCAL DE DEMONSTRAÇÃO DE AMOR.</t>
        </is>
      </c>
      <c r="J800">
        <f>HYPERLINK("https://portalamazonia.com/noticias/cidades/em-belem-refugiados-venezuelanos-se-casam-em-cerimonia-comunitaria", "URL")</f>
        <v/>
      </c>
      <c r="K800">
        <f>HYPERLINK("https://raw.githubusercontent.com/marcosmapl/dataset_imigrantes/main/noticias_filtered/portal_amazonia/venezuelanos/2020/11_dez/html/29819.65300_1435.html", "HTML")</f>
        <v/>
      </c>
      <c r="L800">
        <f>HYPERLINK("https://raw.githubusercontent.com/marcosmapl/dataset_imigrantes/main/noticias_filtered/portal_amazonia/venezuelanos/2020/11_dez/txt/29819.65300_1435.txt", "TXT")</f>
        <v/>
      </c>
    </row>
    <row r="801">
      <c r="A801" s="1" t="n">
        <v>799</v>
      </c>
      <c r="B801" t="n">
        <v>2020</v>
      </c>
      <c r="C801" s="2" t="n">
        <v>44185.87039351852</v>
      </c>
      <c r="D801" t="inlineStr">
        <is>
          <t>G1</t>
        </is>
      </c>
      <c r="E801" t="inlineStr">
        <is>
          <t>VENEZUELANOS</t>
        </is>
      </c>
      <c r="F801" t="inlineStr">
        <is>
          <t>ECONOMIA</t>
        </is>
      </c>
      <c r="G801" t="inlineStr">
        <is>
          <t>BBC</t>
        </is>
      </c>
      <c r="H801" t="inlineStr">
        <is>
          <t>O INESPERADO RENASCIMENTO DA BOLSA DE CARACAS E COMO ELE REFLETE A ABERTURA DA ECONOMIA VENEZUELANA</t>
        </is>
      </c>
      <c r="I801" t="inlineStr">
        <is>
          <t>NA ÂNSIA DE ATRAIR INVESTIMENTOS E RENDA, O GOVERNO SOCIALISTA DE NICOLÁS MADURO FLEXIBILIZOU A ECONOMIA E ISSO SE EVIDENCIA NO 'BOOM' DA BOLSA DE VALORES DA CAPITAL VENEZUELANA.</t>
        </is>
      </c>
      <c r="J801">
        <f>HYPERLINK("https://g1.globo.com/economia/noticia/2020/12/20/o-inesperado-renascimento-da-bolsa-de-caracas-e-como-ele-reflete-a-abertura-da-economia-venezuelana.ghtml", "URL")</f>
        <v/>
      </c>
      <c r="K801">
        <f>HYPERLINK("https://raw.githubusercontent.com/marcosmapl/dataset_imigrantes/main/noticias_filtered/g1/venezuelanos/2020/11_dez/html/g1_39236fc0-2311-11ed-b24f-6dbe51e79fca_2906.html", "HTML")</f>
        <v/>
      </c>
      <c r="L801">
        <f>HYPERLINK("https://raw.githubusercontent.com/marcosmapl/dataset_imigrantes/main/noticias_filtered/g1/venezuelanos/2020/11_dez/txt/g1_39236fc0-2311-11ed-b24f-6dbe51e79fca_2906.txt", "TXT")</f>
        <v/>
      </c>
    </row>
    <row r="802">
      <c r="A802" s="1" t="n">
        <v>800</v>
      </c>
      <c r="B802" t="n">
        <v>2020</v>
      </c>
      <c r="C802" s="2" t="n">
        <v>44185.67654256945</v>
      </c>
      <c r="D802" t="inlineStr">
        <is>
          <t>G1</t>
        </is>
      </c>
      <c r="E802" t="inlineStr">
        <is>
          <t>VENEZUELANOS</t>
        </is>
      </c>
      <c r="F802" t="inlineStr">
        <is>
          <t>RORAIMA</t>
        </is>
      </c>
      <c r="G802" t="inlineStr">
        <is>
          <t>G1 RR — BOA VISTA</t>
        </is>
      </c>
      <c r="H802" t="inlineStr">
        <is>
          <t>MAJOR DA OPERAÇÃO ACOLHIDA É PRESO POR ATROPELAR VENEZUELANOS EM BOA VISTA</t>
        </is>
      </c>
      <c r="I802" t="inlineStr">
        <is>
          <t>POLÍCIA MILITAR CONSTATOU SINAIS DE EMBRIAGUEZ NO MILITAR, MAS ELE SE NEGOU A FAZER O TESTE DO BAFÔMETRO. APÓS ATROPELAR OS JOVENS IMIGRANTES, O MAJOR ACIONOU O SAMU PARA PRESTAR SOCORRO.</t>
        </is>
      </c>
      <c r="J802">
        <f>HYPERLINK("https://g1.globo.com/rr/roraima/noticia/2020/12/20/major-do-exercito-e-preso-por-atropelar-venezuelanos-e-se-negar-a-fazer-teste-do-bafometro-em-rr.ghtml", "URL")</f>
        <v/>
      </c>
      <c r="K802">
        <f>HYPERLINK("https://raw.githubusercontent.com/marcosmapl/dataset_imigrantes/main/noticias_filtered/g1/venezuelanos/2020/11_dez/html/g1_706a1c8a-2326-11ed-b24f-6dbe51e79fca_3976.html", "HTML")</f>
        <v/>
      </c>
      <c r="L802">
        <f>HYPERLINK("https://raw.githubusercontent.com/marcosmapl/dataset_imigrantes/main/noticias_filtered/g1/venezuelanos/2020/11_dez/txt/g1_706a1c8a-2326-11ed-b24f-6dbe51e79fca_3976.txt", "TXT")</f>
        <v/>
      </c>
    </row>
    <row r="803">
      <c r="A803" s="1" t="n">
        <v>801</v>
      </c>
      <c r="B803" t="n">
        <v>2020</v>
      </c>
      <c r="C803" s="2" t="n">
        <v>44185.50524305556</v>
      </c>
      <c r="D803" t="inlineStr">
        <is>
          <t>A CRITICA</t>
        </is>
      </c>
      <c r="E803" t="inlineStr">
        <is>
          <t>VENEZUELANOS</t>
        </is>
      </c>
      <c r="F803" t="inlineStr"/>
      <c r="G803" t="inlineStr">
        <is>
          <t>PORTAL A CRÍTICA</t>
        </is>
      </c>
      <c r="H803" t="inlineStr">
        <is>
          <t>MANAUS RECEBE EXPOSIÇÃO FOTOGRÁFICA ‘PANAS’, COM PROJEÇÃO NO VIADUTO DE FLORES</t>
        </is>
      </c>
      <c r="I803" t="inlineStr">
        <is>
          <t>APOIADA PELA SEJUSC, MOSTRA FOI REALIZADA NA ÚLTIMA SEXTA-FEIRA (18) E REUNIU 46 FOTOGRAFIAS DE PROFISSIONAIS DE TODO O BRASIL</t>
        </is>
      </c>
      <c r="J803">
        <f>HYPERLINK("https://www.acritica.com/manaus-recebe-exposic-o-fotografica-panas-com-projec-o-no-viaduto-de-flores-1.26317", "URL")</f>
        <v/>
      </c>
      <c r="K803">
        <f>HYPERLINK("https://raw.githubusercontent.com/marcosmapl/dataset_imigrantes/main/noticias_filtered/a_critica/venezuelanos/2020/11_dez/html/1.26317_459.html", "HTML")</f>
        <v/>
      </c>
      <c r="L803">
        <f>HYPERLINK("https://raw.githubusercontent.com/marcosmapl/dataset_imigrantes/main/noticias_filtered/a_critica/venezuelanos/2020/11_dez/txt/1.26317_459.txt", "TXT")</f>
        <v/>
      </c>
    </row>
    <row r="804">
      <c r="A804" s="1" t="n">
        <v>802</v>
      </c>
      <c r="B804" t="n">
        <v>2020</v>
      </c>
      <c r="C804" s="2" t="n">
        <v>44184.00165583333</v>
      </c>
      <c r="D804" t="inlineStr">
        <is>
          <t>G1</t>
        </is>
      </c>
      <c r="E804" t="inlineStr">
        <is>
          <t>VENEZUELANOS</t>
        </is>
      </c>
      <c r="F804" t="inlineStr">
        <is>
          <t>RORAIMA</t>
        </is>
      </c>
      <c r="G804" t="inlineStr">
        <is>
          <t>G1 RR — BOA VISTA</t>
        </is>
      </c>
      <c r="H804" t="inlineStr">
        <is>
          <t>VENEZUELANO PROCURADO PELA INTERPOL  É TRANSFERIDO DE RR PARA PRESIDIO FEDERAL</t>
        </is>
      </c>
      <c r="I804" t="inlineStr">
        <is>
          <t>ROBERTO ANTONIO ESPEJO CAMACHO, TINHA  'DIFUSÕES VERMELHAS' DE CAPTURA DA INTERPOL EMITIDAS PELO GOVERNO DA REPÚBLICA DOMINICANA E O GOVERNO DA VENEZUELA. ELE RESPONDE PELOS CRIMES DE TRÁFICO DE DROGAS, LAVAGEM DE DINHEIRO E EXTRAÇÃO DE OURO E CONTRABANDO.</t>
        </is>
      </c>
      <c r="J804">
        <f>HYPERLINK("https://g1.globo.com/rr/roraima/noticia/2020/12/18/venezuelano-procurado-pela-interpol-em-dois-paises-por-trafico-e-transferido-para-presidio-federal.ghtml", "URL")</f>
        <v/>
      </c>
      <c r="K804">
        <f>HYPERLINK("https://raw.githubusercontent.com/marcosmapl/dataset_imigrantes/main/noticias_filtered/g1/venezuelanos/2020/11_dez/html/g1_68d28cf6-2307-11ed-b24f-6dbe51e79fca_2316.html", "HTML")</f>
        <v/>
      </c>
      <c r="L804">
        <f>HYPERLINK("https://raw.githubusercontent.com/marcosmapl/dataset_imigrantes/main/noticias_filtered/g1/venezuelanos/2020/11_dez/txt/g1_68d28cf6-2307-11ed-b24f-6dbe51e79fca_2316.txt", "TXT")</f>
        <v/>
      </c>
    </row>
    <row r="805">
      <c r="A805" s="1" t="n">
        <v>803</v>
      </c>
      <c r="B805" t="n">
        <v>2020</v>
      </c>
      <c r="C805" s="2" t="n">
        <v>44183.56206913194</v>
      </c>
      <c r="D805" t="inlineStr">
        <is>
          <t>G1</t>
        </is>
      </c>
      <c r="E805" t="inlineStr">
        <is>
          <t>HAITIANOS</t>
        </is>
      </c>
      <c r="F805" t="inlineStr"/>
      <c r="G805" t="inlineStr">
        <is>
          <t>G1 RO — PORTO VELHO</t>
        </is>
      </c>
      <c r="H805" t="inlineStr">
        <is>
          <t>HAITIANO É MORTO POR CINCO HOMENS EM PORTO VELHO</t>
        </is>
      </c>
      <c r="I805" t="inlineStr">
        <is>
          <t>ASSASSINATO ACONTECEU NA MADRUGADA DESTA SEXTA-FEIRA (18). DELEGACIA DE HOMICÍDIOS INVESTIGA O CASO.</t>
        </is>
      </c>
      <c r="J805">
        <f>HYPERLINK("https://g1.globo.com/ro/noticia/2020/12/18/haitiano-e-morto-por-cinco-homens-em-porto-velho.ghtml", "URL")</f>
        <v/>
      </c>
      <c r="K805">
        <f>HYPERLINK("https://raw.githubusercontent.com/marcosmapl/dataset_imigrantes/main/noticias_filtered/g1/haitianos/2020/11_dez/html/g1_c13904d0-22f6-11ed-b24f-6dbe51e79fca_2035.html", "HTML")</f>
        <v/>
      </c>
      <c r="L805">
        <f>HYPERLINK("https://raw.githubusercontent.com/marcosmapl/dataset_imigrantes/main/noticias_filtered/g1/haitianos/2020/11_dez/txt/g1_c13904d0-22f6-11ed-b24f-6dbe51e79fca_2035.txt", "TXT")</f>
        <v/>
      </c>
    </row>
    <row r="806">
      <c r="A806" s="1" t="n">
        <v>804</v>
      </c>
      <c r="B806" t="n">
        <v>2020</v>
      </c>
      <c r="C806" s="2" t="n">
        <v>44183.41717483796</v>
      </c>
      <c r="D806" t="inlineStr">
        <is>
          <t>G1</t>
        </is>
      </c>
      <c r="E806" t="inlineStr">
        <is>
          <t>VENEZUELANOS</t>
        </is>
      </c>
      <c r="F806" t="inlineStr">
        <is>
          <t>RORAIMA</t>
        </is>
      </c>
      <c r="G806" t="inlineStr">
        <is>
          <t>G1 RR — BOA VISTA</t>
        </is>
      </c>
      <c r="H806" t="inlineStr">
        <is>
          <t>CRIANÇAS VENEZUELANAS QUE VIVEM EM ABRIGOS GANHAM PASSEIO DE NATAL POR BOA VISTA NA 'CARRETA DA ALEGRIA'</t>
        </is>
      </c>
      <c r="I806" t="inlineStr">
        <is>
          <t>PASSEIOS ACONTECEM ATÉ O DIA 23, ANTEVÉSPERA DE NATAL. PARTICIPAM, EM MÉDIA, 60 CRIANÇAS VENEZUELANAS QUE MORAM EM ABRIGOS DA OPERAÇÃO ACOLHIDA.</t>
        </is>
      </c>
      <c r="J806">
        <f>HYPERLINK("https://g1.globo.com/rr/roraima/noticia/2020/12/18/criancas-venezuelanas-que-vivem-em-abrigos-ganham-passeio-de-natal-por-boa-vista-na-carreta-da-alegria.ghtml", "URL")</f>
        <v/>
      </c>
      <c r="K806">
        <f>HYPERLINK("https://raw.githubusercontent.com/marcosmapl/dataset_imigrantes/main/noticias_filtered/g1/venezuelanos/2020/11_dez/html/g1_d2d25f4a-2312-11ed-b24f-6dbe51e79fca_2980.html", "HTML")</f>
        <v/>
      </c>
      <c r="L806">
        <f>HYPERLINK("https://raw.githubusercontent.com/marcosmapl/dataset_imigrantes/main/noticias_filtered/g1/venezuelanos/2020/11_dez/txt/g1_d2d25f4a-2312-11ed-b24f-6dbe51e79fca_2980.txt", "TXT")</f>
        <v/>
      </c>
    </row>
    <row r="807">
      <c r="A807" s="1" t="n">
        <v>805</v>
      </c>
      <c r="B807" t="n">
        <v>2020</v>
      </c>
      <c r="C807" s="2" t="n">
        <v>44182.5813746412</v>
      </c>
      <c r="D807" t="inlineStr">
        <is>
          <t>G1</t>
        </is>
      </c>
      <c r="E807" t="inlineStr">
        <is>
          <t>AMBOS</t>
        </is>
      </c>
      <c r="F807" t="inlineStr">
        <is>
          <t>MUNDO</t>
        </is>
      </c>
      <c r="G807" t="inlineStr">
        <is>
          <t>LUCAS VIDIGAL, G1</t>
        </is>
      </c>
      <c r="H807" t="inlineStr">
        <is>
          <t>NÚMERO DE IMIGRANTES COM CARTEIRA ASSINADA NO BRASIL QUASE TRIPLICA EM 10 ANOS</t>
        </is>
      </c>
      <c r="I807" t="inlineStr">
        <is>
          <t>SEGUNDO O GOVERNO, O FLUXO MIGRATÓRIO DE HAITIANOS E VENEZUELANOS DESDE 2016 PUXOU ALTA NO NÚMERO DE ESTRANGEIROS FORMALMENTE EMPREGADOS. VIOLÊNCIA POLÍTICA NA VENEZUELA TAMBÉM FEZ 2019 REGISTRAR RECORDE NO TOTAL DE PEDIDOS DE REFÚGIO NO BRASIL.</t>
        </is>
      </c>
      <c r="J807">
        <f>HYPERLINK("https://g1.globo.com/mundo/noticia/2020/12/17/numero-de-imigrantes-com-carteira-assinada-no-brasil-quase-triplica-em-10-anos.ghtml", "URL")</f>
        <v/>
      </c>
      <c r="K807">
        <f>HYPERLINK("https://raw.githubusercontent.com/marcosmapl/dataset_imigrantes/main/noticias_filtered/g1/ambos/2020/11_dez/html/g1_2edacb2e-22fa-11ed-b24f-6dbe51e79fca_2204.html", "HTML")</f>
        <v/>
      </c>
      <c r="L807">
        <f>HYPERLINK("https://raw.githubusercontent.com/marcosmapl/dataset_imigrantes/main/noticias_filtered/g1/ambos/2020/11_dez/txt/g1_2edacb2e-22fa-11ed-b24f-6dbe51e79fca_2204.txt", "TXT")</f>
        <v/>
      </c>
    </row>
    <row r="808">
      <c r="A808" s="1" t="n">
        <v>806</v>
      </c>
      <c r="B808" t="n">
        <v>2020</v>
      </c>
      <c r="C808" s="2" t="n">
        <v>44180.40625</v>
      </c>
      <c r="D808" t="inlineStr">
        <is>
          <t>PORTAL AMAZONIA</t>
        </is>
      </c>
      <c r="E808" t="inlineStr">
        <is>
          <t>VENEZUELANOS</t>
        </is>
      </c>
      <c r="F808" t="inlineStr">
        <is>
          <t>ARTE,NOTÍCIAS,CIDADES</t>
        </is>
      </c>
      <c r="G808" t="inlineStr">
        <is>
          <t>PORTAL AMAZÔNIA, COM INFORMAÇÕES DA ACNUR</t>
        </is>
      </c>
      <c r="H808" t="inlineStr">
        <is>
          <t>PROJETO QUE IMPULSIONA ARTESANATO WARAO RECEBE NOVOS RECURSOS PARA EXPANDIR SEU IMPACTO</t>
        </is>
      </c>
      <c r="I808" t="inlineStr">
        <is>
          <t>DESDE 2019, O ACNUR E PARCEIROS FORTALECEM INICIATIVA PARA FAZER DO ARTESANATO FONTE DE RENDA DE INDÍGENAS VENEZUELANOS NO BRASIL; NOVAS ETAPAS CONTEMPLAM CRIAÇÃO DE ASSOCIAÇÃO E COMERCIALIZAÇÃO</t>
        </is>
      </c>
      <c r="J808">
        <f>HYPERLINK("https://portalamazonia.com/cultura/arte/projeto-que-impulsiona-artesanato-warao-recebe-novos-recursos-para-expandir-seu-impacto", "URL")</f>
        <v/>
      </c>
      <c r="K808">
        <f>HYPERLINK("https://raw.githubusercontent.com/marcosmapl/dataset_imigrantes/main/noticias_filtered/portal_amazonia/venezuelanos/2020/11_dez/html/29718.65131_1431.html", "HTML")</f>
        <v/>
      </c>
      <c r="L808">
        <f>HYPERLINK("https://raw.githubusercontent.com/marcosmapl/dataset_imigrantes/main/noticias_filtered/portal_amazonia/venezuelanos/2020/11_dez/txt/29718.65131_1431.txt", "TXT")</f>
        <v/>
      </c>
    </row>
    <row r="809">
      <c r="A809" s="1" t="n">
        <v>807</v>
      </c>
      <c r="B809" t="n">
        <v>2020</v>
      </c>
      <c r="C809" s="2" t="n">
        <v>44178.85062726852</v>
      </c>
      <c r="D809" t="inlineStr">
        <is>
          <t>G1</t>
        </is>
      </c>
      <c r="E809" t="inlineStr">
        <is>
          <t>VENEZUELANOS</t>
        </is>
      </c>
      <c r="F809" t="inlineStr">
        <is>
          <t>MUNDO</t>
        </is>
      </c>
      <c r="G809" t="inlineStr">
        <is>
          <t>FRANCE PRESSE</t>
        </is>
      </c>
      <c r="H809" t="inlineStr">
        <is>
          <t>NAUFRÁGIO DEIXA CERCA DE 14 IMIGRANTES VENEZUELANOS MORTOS NO CARIBE</t>
        </is>
      </c>
      <c r="I809" t="inlineStr">
        <is>
          <t>BARCO TERIA PARTIDO DO ESTADO DE SUCRE, NA VENEZUELA, COM DESTINO A TRINIDAD E TOBAGO. SEGUNDO UM PARLAMENTAR DO ESTADO VENEZUELANO, A EMBARCAÇÃO FOI "SUPOSTAMENTE DETIDA EM TRINIDAD E TOBAGO, E DEVOLVIDA À VENEZUELA".</t>
        </is>
      </c>
      <c r="J809">
        <f>HYPERLINK("https://g1.globo.com/mundo/noticia/2020/12/13/naufragio-deixa-cerca-de-11-imigrantes-venezuelanos-mortos-no-caribe.ghtml", "URL")</f>
        <v/>
      </c>
      <c r="K809">
        <f>HYPERLINK("https://raw.githubusercontent.com/marcosmapl/dataset_imigrantes/main/noticias_filtered/g1/venezuelanos/2020/11_dez/html/g1_c0366a14-230f-11ed-b24f-6dbe51e79fca_2816.html", "HTML")</f>
        <v/>
      </c>
      <c r="L809">
        <f>HYPERLINK("https://raw.githubusercontent.com/marcosmapl/dataset_imigrantes/main/noticias_filtered/g1/venezuelanos/2020/11_dez/txt/g1_c0366a14-230f-11ed-b24f-6dbe51e79fca_2816.txt", "TXT")</f>
        <v/>
      </c>
    </row>
    <row r="810">
      <c r="A810" s="1" t="n">
        <v>808</v>
      </c>
      <c r="B810" t="n">
        <v>2020</v>
      </c>
      <c r="C810" s="2" t="n">
        <v>44178.83325469907</v>
      </c>
      <c r="D810" t="inlineStr">
        <is>
          <t>G1</t>
        </is>
      </c>
      <c r="E810" t="inlineStr">
        <is>
          <t>VENEZUELANOS</t>
        </is>
      </c>
      <c r="F810" t="inlineStr">
        <is>
          <t>MARANHÃO</t>
        </is>
      </c>
      <c r="G810" t="inlineStr">
        <is>
          <t>G1 MA — SÃO LUÍS</t>
        </is>
      </c>
      <c r="H810" t="inlineStr">
        <is>
          <t>VENEZUELANO É PRESO APÓS CAIR DE FORRO DE JOALHERIA DURANTE ASSALTO EM SÃO LUÍS</t>
        </is>
      </c>
      <c r="I810" t="inlineStr">
        <is>
          <t>VIGILANTES OUVIRAM O BARULHO E ACIONARAM A POLÍCIA. HOMEM FOI AUTUADO POR ROUBO QUALIFICADO.</t>
        </is>
      </c>
      <c r="J810">
        <f>HYPERLINK("https://g1.globo.com/ma/maranhao/noticia/2020/12/13/venezuelano-e-preso-ao-cair-de-forro-de-joalheria-durante-assalto-em-sao-luis.ghtml", "URL")</f>
        <v/>
      </c>
      <c r="K810">
        <f>HYPERLINK("https://raw.githubusercontent.com/marcosmapl/dataset_imigrantes/main/noticias_filtered/g1/venezuelanos/2020/11_dez/html/g1_3ab8f956-2323-11ed-b24f-6dbe51e79fca_3793.html", "HTML")</f>
        <v/>
      </c>
      <c r="L810">
        <f>HYPERLINK("https://raw.githubusercontent.com/marcosmapl/dataset_imigrantes/main/noticias_filtered/g1/venezuelanos/2020/11_dez/txt/g1_3ab8f956-2323-11ed-b24f-6dbe51e79fca_3793.txt", "TXT")</f>
        <v/>
      </c>
    </row>
    <row r="811">
      <c r="A811" s="1" t="n">
        <v>809</v>
      </c>
      <c r="B811" t="n">
        <v>2020</v>
      </c>
      <c r="C811" s="2" t="n">
        <v>44178.22593924768</v>
      </c>
      <c r="D811" t="inlineStr">
        <is>
          <t>G1</t>
        </is>
      </c>
      <c r="E811" t="inlineStr">
        <is>
          <t>VENEZUELANOS</t>
        </is>
      </c>
      <c r="F811" t="inlineStr">
        <is>
          <t>MUNDO</t>
        </is>
      </c>
      <c r="G811" t="inlineStr">
        <is>
          <t>G1</t>
        </is>
      </c>
      <c r="H811" t="inlineStr">
        <is>
          <t>OPOSIÇÃO DIZ QUE MAIS DE 6 MILHÕES DE VENEZUELANOS PARTICIPARAM DE CONSULTA POPULAR EM REJEIÇÃO ÀS ELEIÇÕES PARLAMENTARES</t>
        </is>
      </c>
      <c r="I811" t="inlineStr">
        <is>
          <t>MOBILIZAÇÃO ORGANIZADA POR GUAIDÓ FAZ PARTE DA ESTRATÉGIA DE DESLEGITIMAR PLEITO DO ÚLTIMO DOMINGO, QUANDO O PARTIDO DE MADURO RETOMOU O CONTROLE DO CONGRESSO.</t>
        </is>
      </c>
      <c r="J811">
        <f>HYPERLINK("https://g1.globo.com/mundo/noticia/2020/12/13/oposicao-diz-que-mais-de-6-milhoes-de-venezuelanos-participaram-de-consulta-popular-em-rejeicao-as-eleicoes-parlamentares.ghtml", "URL")</f>
        <v/>
      </c>
      <c r="K811">
        <f>HYPERLINK("https://raw.githubusercontent.com/marcosmapl/dataset_imigrantes/main/noticias_filtered/g1/venezuelanos/2020/11_dez/html/g1_c459c35c-230a-11ed-b24f-6dbe51e79fca_2526.html", "HTML")</f>
        <v/>
      </c>
      <c r="L811">
        <f>HYPERLINK("https://raw.githubusercontent.com/marcosmapl/dataset_imigrantes/main/noticias_filtered/g1/venezuelanos/2020/11_dez/txt/g1_c459c35c-230a-11ed-b24f-6dbe51e79fca_2526.txt", "TXT")</f>
        <v/>
      </c>
    </row>
    <row r="812">
      <c r="A812" s="1" t="n">
        <v>810</v>
      </c>
      <c r="B812" t="n">
        <v>2020</v>
      </c>
      <c r="C812" s="2" t="n">
        <v>44176.91177805555</v>
      </c>
      <c r="D812" t="inlineStr">
        <is>
          <t>G1</t>
        </is>
      </c>
      <c r="E812" t="inlineStr">
        <is>
          <t>VENEZUELANOS</t>
        </is>
      </c>
      <c r="F812" t="inlineStr">
        <is>
          <t>AMAZONAS</t>
        </is>
      </c>
      <c r="G812" t="inlineStr">
        <is>
          <t>G1 AM</t>
        </is>
      </c>
      <c r="H812" t="inlineStr">
        <is>
          <t>ONG OFERECE CURSOS DE CAPACITAÇÃO PARA VENEZUELANOS EM MANAUS</t>
        </is>
      </c>
      <c r="I812" t="inlineStr">
        <is>
          <t>IMIGRANTES E REFUGIADOS TERÃO AULAS DE PORTUGUÊS, EMPREENDEDORISMO E CURSOS PROFISSIONALIZANTES.</t>
        </is>
      </c>
      <c r="J812">
        <f>HYPERLINK("https://g1.globo.com/am/amazonas/noticia/2020/12/11/ong-oferece-cursos-de-capacitacao-para-venezuelanos-em-manaus.ghtml", "URL")</f>
        <v/>
      </c>
      <c r="K812">
        <f>HYPERLINK("https://raw.githubusercontent.com/marcosmapl/dataset_imigrantes/main/noticias_filtered/g1/venezuelanos/2020/11_dez/html/g1_f4ff9c4c-2324-11ed-b24f-6dbe51e79fca_3891.html", "HTML")</f>
        <v/>
      </c>
      <c r="L812">
        <f>HYPERLINK("https://raw.githubusercontent.com/marcosmapl/dataset_imigrantes/main/noticias_filtered/g1/venezuelanos/2020/11_dez/txt/g1_f4ff9c4c-2324-11ed-b24f-6dbe51e79fca_3891.txt", "TXT")</f>
        <v/>
      </c>
    </row>
    <row r="813">
      <c r="A813" s="1" t="n">
        <v>811</v>
      </c>
      <c r="B813" t="n">
        <v>2020</v>
      </c>
      <c r="C813" s="2" t="n">
        <v>44176.60681591435</v>
      </c>
      <c r="D813" t="inlineStr">
        <is>
          <t>G1</t>
        </is>
      </c>
      <c r="E813" t="inlineStr">
        <is>
          <t>VENEZUELANOS</t>
        </is>
      </c>
      <c r="F813" t="inlineStr">
        <is>
          <t>ACRE</t>
        </is>
      </c>
      <c r="G813" t="inlineStr">
        <is>
          <t>ALINE NASCIMENTO, G1 AC — RIO BRANCO</t>
        </is>
      </c>
      <c r="H813" t="inlineStr">
        <is>
          <t>COM 71 INDÍGENAS VENEZUELANOS INSTALADOS EM ESCOLA, AC VAI CONSTRUIR ABRIGO FIXO PARA ACOMODAR WARAOS</t>
        </is>
      </c>
      <c r="I813" t="inlineStr">
        <is>
          <t>ANTIGO CEJA, NO BAIRRO ESPERANÇA, EM RIO BRANCO, VAI SER TRANSFORMADO EM UM ABRIGO PARA INDÍGENAS VENEZUELANOS DA ETNIA WARAO. IMIGRANTES ESTÃO INSTALADOS NA ESCOLA CAMPOS PEREIRA, NA CIDADE DO POVO, DESDE O MÊS DE ABRIL.</t>
        </is>
      </c>
      <c r="J813">
        <f>HYPERLINK("https://g1.globo.com/ac/acre/noticia/2020/12/11/com-71-indigenas-venezuelanos-instalados-em-escola-ac-vai-construir-abrigo-fixo-para-acomodar-imigrantes.ghtml", "URL")</f>
        <v/>
      </c>
      <c r="K813">
        <f>HYPERLINK("https://raw.githubusercontent.com/marcosmapl/dataset_imigrantes/main/noticias_filtered/g1/venezuelanos/2020/11_dez/html/g1_a0364904-230b-11ed-b24f-6dbe51e79fca_2576.html", "HTML")</f>
        <v/>
      </c>
      <c r="L813">
        <f>HYPERLINK("https://raw.githubusercontent.com/marcosmapl/dataset_imigrantes/main/noticias_filtered/g1/venezuelanos/2020/11_dez/txt/g1_a0364904-230b-11ed-b24f-6dbe51e79fca_2576.txt", "TXT")</f>
        <v/>
      </c>
    </row>
    <row r="814">
      <c r="A814" s="1" t="n">
        <v>812</v>
      </c>
      <c r="B814" t="n">
        <v>2020</v>
      </c>
      <c r="C814" s="2" t="n">
        <v>44176.57163826389</v>
      </c>
      <c r="D814" t="inlineStr">
        <is>
          <t>G1</t>
        </is>
      </c>
      <c r="E814" t="inlineStr">
        <is>
          <t>VENEZUELANOS</t>
        </is>
      </c>
      <c r="F814" t="inlineStr">
        <is>
          <t>RORAIMA</t>
        </is>
      </c>
      <c r="G814" t="inlineStr">
        <is>
          <t>G1 RR — BOA VISTA</t>
        </is>
      </c>
      <c r="H814" t="inlineStr">
        <is>
          <t>VENEZUELANO É ASSASSINADO COM DEZ TIROS NO MEIO DA RUA EM BOA VISTA</t>
        </is>
      </c>
      <c r="I814" t="inlineStr">
        <is>
          <t>POLICIAIS ENCONTRARAM 14 CÁPSULAS DE CALIBRE 9 MM LUGER NO CRUZAMENTO DE RUAS EM QUE DISPAROS FORAM DADOS. VÍTIMA FOI ATINGIDA POR VOLTA DAS 21H, ENCAMINHADA AO HOSPITAL, MAS MORREU CERCA DE 50 MINUTOS APÓS O ATAQUE.</t>
        </is>
      </c>
      <c r="J814">
        <f>HYPERLINK("https://g1.globo.com/rr/roraima/noticia/2020/12/11/venezuelano-e-assassinado-com-dez-tiros-no-meio-da-rua-em-boa-vista.ghtml", "URL")</f>
        <v/>
      </c>
      <c r="K814">
        <f>HYPERLINK("https://raw.githubusercontent.com/marcosmapl/dataset_imigrantes/main/noticias_filtered/g1/venezuelanos/2020/11_dez/html/g1_b3720f60-2326-11ed-b24f-6dbe51e79fca_3993.html", "HTML")</f>
        <v/>
      </c>
      <c r="L814">
        <f>HYPERLINK("https://raw.githubusercontent.com/marcosmapl/dataset_imigrantes/main/noticias_filtered/g1/venezuelanos/2020/11_dez/txt/g1_b3720f60-2326-11ed-b24f-6dbe51e79fca_3993.txt", "TXT")</f>
        <v/>
      </c>
    </row>
    <row r="815">
      <c r="A815" s="1" t="n">
        <v>813</v>
      </c>
      <c r="B815" t="n">
        <v>2020</v>
      </c>
      <c r="C815" s="2" t="n">
        <v>44175.86306712963</v>
      </c>
      <c r="D815" t="inlineStr">
        <is>
          <t>A CRITICA</t>
        </is>
      </c>
      <c r="E815" t="inlineStr">
        <is>
          <t>VENEZUELANOS</t>
        </is>
      </c>
      <c r="F815" t="inlineStr">
        <is>
          <t>OPINIAO</t>
        </is>
      </c>
      <c r="G815" t="inlineStr">
        <is>
          <t>DULCE RODRIGUEZ</t>
        </is>
      </c>
      <c r="H815" t="inlineStr">
        <is>
          <t>A MAGIA DA HALLACA VENEZUELANA</t>
        </is>
      </c>
      <c r="I815" t="inlineStr">
        <is>
          <t>O RITUAL DO PREPARO É O MAIS MARCANTE E O QUE NOS DEIXA COM SAUDADES, PRINCIPALMENTE, AOS IMIGRANTES QUE ESTAMOS LONGE DA FAMÍLIA</t>
        </is>
      </c>
      <c r="J815">
        <f>HYPERLINK("https://www.acritica.com/opiniao/a-magia-da-hallaca-venezuelana-1.216100", "URL")</f>
        <v/>
      </c>
      <c r="K815">
        <f>HYPERLINK("https://raw.githubusercontent.com/marcosmapl/dataset_imigrantes/main/noticias_filtered/a_critica/venezuelanos/2020/11_dez/html/1.216100_861.html", "HTML")</f>
        <v/>
      </c>
      <c r="L815">
        <f>HYPERLINK("https://raw.githubusercontent.com/marcosmapl/dataset_imigrantes/main/noticias_filtered/a_critica/venezuelanos/2020/11_dez/txt/1.216100_861.txt", "TXT")</f>
        <v/>
      </c>
    </row>
    <row r="816">
      <c r="A816" s="1" t="n">
        <v>814</v>
      </c>
      <c r="B816" t="n">
        <v>2020</v>
      </c>
      <c r="C816" s="2" t="n">
        <v>44174.62408993056</v>
      </c>
      <c r="D816" t="inlineStr">
        <is>
          <t>G1</t>
        </is>
      </c>
      <c r="E816" t="inlineStr">
        <is>
          <t>VENEZUELANOS</t>
        </is>
      </c>
      <c r="F816" t="inlineStr">
        <is>
          <t>PARAÍBA</t>
        </is>
      </c>
      <c r="G816" t="inlineStr">
        <is>
          <t>G1 PB</t>
        </is>
      </c>
      <c r="H816" t="inlineStr">
        <is>
          <t>VENEZUELANOS SÃO ATROPELADOS POR CARRO EM PUXINANÃ, NA PARAÍBA</t>
        </is>
      </c>
      <c r="I816" t="inlineStr">
        <is>
          <t>HOMEM E MULHER TIVERAM FERIMENTOS GRAVES, DIZ HOSPITAL DE TRAUMA DE CAMPINA GRANDE.</t>
        </is>
      </c>
      <c r="J816">
        <f>HYPERLINK("https://g1.globo.com/pb/paraiba/noticia/2020/12/09/venezuelanos-sao-atropelados-por-carro-em-puxinana-na-paraiba.ghtml", "URL")</f>
        <v/>
      </c>
      <c r="K816">
        <f>HYPERLINK("https://raw.githubusercontent.com/marcosmapl/dataset_imigrantes/main/noticias_filtered/g1/venezuelanos/2020/11_dez/html/g1_db3bbb90-231c-11ed-b24f-6dbe51e79fca_3469.html", "HTML")</f>
        <v/>
      </c>
      <c r="L816">
        <f>HYPERLINK("https://raw.githubusercontent.com/marcosmapl/dataset_imigrantes/main/noticias_filtered/g1/venezuelanos/2020/11_dez/txt/g1_db3bbb90-231c-11ed-b24f-6dbe51e79fca_3469.txt", "TXT")</f>
        <v/>
      </c>
    </row>
    <row r="817">
      <c r="A817" s="1" t="n">
        <v>815</v>
      </c>
      <c r="B817" t="n">
        <v>2020</v>
      </c>
      <c r="C817" s="2" t="n">
        <v>44174.5782619676</v>
      </c>
      <c r="D817" t="inlineStr">
        <is>
          <t>G1</t>
        </is>
      </c>
      <c r="E817" t="inlineStr">
        <is>
          <t>HAITIANOS</t>
        </is>
      </c>
      <c r="F817" t="inlineStr">
        <is>
          <t>MATO GROSSO</t>
        </is>
      </c>
      <c r="G817" t="inlineStr">
        <is>
          <t>G1 MT</t>
        </is>
      </c>
      <c r="H817" t="inlineStr">
        <is>
          <t>MENINO HAITIANO FOGE DE CASA E É ENCONTRADO EM PRAÇA COM MALA E PASSAPORTE EM MT</t>
        </is>
      </c>
      <c r="I817" t="inlineStr">
        <is>
          <t>O PAI DO MENINO FOI LOCALIZADO HORAS DEPOIS PELO CONSELHO TUTELAR. APESAR DA DIFICULDADE NO IDIOMA, OS CONSELHEIROS SUSPEITAM QUE O MENINO TENHA PULADO O MURO E FUGIU SEM QUE O PAI PERCEBESSE.</t>
        </is>
      </c>
      <c r="J817">
        <f>HYPERLINK("https://g1.globo.com/mt/mato-grosso/noticia/2020/12/09/menino-haitiano-foge-de-casa-e-e-encontrado-em-praca-com-mala-e-passaporte-em-mt.ghtml", "URL")</f>
        <v/>
      </c>
      <c r="K817">
        <f>HYPERLINK("https://raw.githubusercontent.com/marcosmapl/dataset_imigrantes/main/noticias_filtered/g1/haitianos/2020/11_dez/html/g1_95757c64-22f3-11ed-b24f-6dbe51e79fca_1847.html", "HTML")</f>
        <v/>
      </c>
      <c r="L817">
        <f>HYPERLINK("https://raw.githubusercontent.com/marcosmapl/dataset_imigrantes/main/noticias_filtered/g1/haitianos/2020/11_dez/txt/g1_95757c64-22f3-11ed-b24f-6dbe51e79fca_1847.txt", "TXT")</f>
        <v/>
      </c>
    </row>
    <row r="818">
      <c r="A818" s="1" t="n">
        <v>816</v>
      </c>
      <c r="B818" t="n">
        <v>2020</v>
      </c>
      <c r="C818" s="2" t="n">
        <v>44172.77325231482</v>
      </c>
      <c r="D818" t="inlineStr">
        <is>
          <t>A CRITICA</t>
        </is>
      </c>
      <c r="E818" t="inlineStr">
        <is>
          <t>VENEZUELANOS</t>
        </is>
      </c>
      <c r="F818" t="inlineStr"/>
      <c r="G818" t="inlineStr">
        <is>
          <t>REUTERS</t>
        </is>
      </c>
      <c r="H818" t="inlineStr">
        <is>
          <t>BRASIL, UE E OUTROS PAÍSES QUESTIONAM LEGITIMIDADE DE ELEIÇÕES NA VENEZUELA</t>
        </is>
      </c>
      <c r="I818" t="inlineStr">
        <is>
          <t>CARTA DE PAÍSES DENUNCIA FRAUDE NAS ELEIÇÕES QUE OCORRERAM NESTE ÚLTIMO DOMINGO (6)</t>
        </is>
      </c>
      <c r="J818">
        <f>HYPERLINK("https://www.acritica.com/brasil-ue-e-outros-paises-questionam-legitimidade-de-eleic-es-na-venezuela-1.27704", "URL")</f>
        <v/>
      </c>
      <c r="K818">
        <f>HYPERLINK("https://raw.githubusercontent.com/marcosmapl/dataset_imigrantes/main/noticias_filtered/a_critica/venezuelanos/2020/11_dez/html/1.27704_320.html", "HTML")</f>
        <v/>
      </c>
      <c r="L818">
        <f>HYPERLINK("https://raw.githubusercontent.com/marcosmapl/dataset_imigrantes/main/noticias_filtered/a_critica/venezuelanos/2020/11_dez/txt/1.27704_320.txt", "TXT")</f>
        <v/>
      </c>
    </row>
    <row r="819">
      <c r="A819" s="1" t="n">
        <v>817</v>
      </c>
      <c r="B819" t="n">
        <v>2020</v>
      </c>
      <c r="C819" s="2" t="n">
        <v>44171.74861111111</v>
      </c>
      <c r="D819" t="inlineStr">
        <is>
          <t>A CRITICA</t>
        </is>
      </c>
      <c r="E819" t="inlineStr">
        <is>
          <t>VENEZUELANOS</t>
        </is>
      </c>
      <c r="F819" t="inlineStr">
        <is>
          <t>MANAUS</t>
        </is>
      </c>
      <c r="G819" t="inlineStr">
        <is>
          <t>GIOVANNA MARINHO</t>
        </is>
      </c>
      <c r="H819" t="inlineStr">
        <is>
          <t>EM MANAUS, GRUPO DE VENEZUELANOS PROTESTA CONTRA 'FRAUDE' NAS ELEIÇÕES</t>
        </is>
      </c>
      <c r="I819" t="inlineStr">
        <is>
          <t>IMIGRANTES VENEZUELANOS SE REUNIRAM NO CRUZAMENTO DA AV. DJALMA BATISTA COM RUA PARÁ, PARA PROTESTAR SOBRE DENÚNCIAS DE FRAUDE NA ELEIÇÃO DO PARLAMENTO</t>
        </is>
      </c>
      <c r="J819">
        <f>HYPERLINK("https://www.acritica.com/manaus/em-manaus-grupo-de-venezuelanos-protesta-contra-fraude-nas-eleic-es-1.27737", "URL")</f>
        <v/>
      </c>
      <c r="K819">
        <f>HYPERLINK("https://raw.githubusercontent.com/marcosmapl/dataset_imigrantes/main/noticias_filtered/a_critica/venezuelanos/2020/11_dez/html/1.27737_596.html", "HTML")</f>
        <v/>
      </c>
      <c r="L819">
        <f>HYPERLINK("https://raw.githubusercontent.com/marcosmapl/dataset_imigrantes/main/noticias_filtered/a_critica/venezuelanos/2020/11_dez/txt/1.27737_596.txt", "TXT")</f>
        <v/>
      </c>
    </row>
    <row r="820">
      <c r="A820" s="1" t="n">
        <v>818</v>
      </c>
      <c r="B820" t="n">
        <v>2020</v>
      </c>
      <c r="C820" s="2" t="n">
        <v>44169.44479166667</v>
      </c>
      <c r="D820" t="inlineStr">
        <is>
          <t>A CRITICA</t>
        </is>
      </c>
      <c r="E820" t="inlineStr">
        <is>
          <t>VENEZUELANOS</t>
        </is>
      </c>
      <c r="F820" t="inlineStr">
        <is>
          <t>MANAUS</t>
        </is>
      </c>
      <c r="G820" t="inlineStr">
        <is>
          <t>PORTAL A CRÍTICA</t>
        </is>
      </c>
      <c r="H820" t="inlineStr">
        <is>
          <t>MATERNIDADE MOURA TAPAJÓZ INAUGURA QUARTO ESPECIAL PARA PARTO DE INDÍGENAS</t>
        </is>
      </c>
      <c r="I820" t="inlineStr">
        <is>
          <t>O QUARTO É INTEIRAMENTE ADAPTADO AOS COSTUMES INDÍGENAS NO MOMENTO DO PARTO</t>
        </is>
      </c>
      <c r="J820">
        <f>HYPERLINK("https://www.acritica.com/manaus/maternidade-moura-tapajoz-inaugura-quarto-especial-para-parto-de-indigenas-1.27824", "URL")</f>
        <v/>
      </c>
      <c r="K820">
        <f>HYPERLINK("https://raw.githubusercontent.com/marcosmapl/dataset_imigrantes/main/noticias_filtered/a_critica/venezuelanos/2020/11_dez/html/1.27824_1170.html", "HTML")</f>
        <v/>
      </c>
      <c r="L820">
        <f>HYPERLINK("https://raw.githubusercontent.com/marcosmapl/dataset_imigrantes/main/noticias_filtered/a_critica/venezuelanos/2020/11_dez/txt/1.27824_1170.txt", "TXT")</f>
        <v/>
      </c>
    </row>
    <row r="821">
      <c r="A821" s="1" t="n">
        <v>819</v>
      </c>
      <c r="B821" t="n">
        <v>2020</v>
      </c>
      <c r="C821" s="2" t="n">
        <v>44168.01074938657</v>
      </c>
      <c r="D821" t="inlineStr">
        <is>
          <t>G1</t>
        </is>
      </c>
      <c r="E821" t="inlineStr">
        <is>
          <t>VENEZUELANOS</t>
        </is>
      </c>
      <c r="F821" t="inlineStr">
        <is>
          <t>MUNDO</t>
        </is>
      </c>
      <c r="G821" t="inlineStr">
        <is>
          <t>BBC</t>
        </is>
      </c>
      <c r="H821" t="inlineStr">
        <is>
          <t>A JOVEM VENEZUELANA QUE EM 3 MESES DEIXOU DE VENDER FRUTAS EM SUA CIDADE E PASSOU A REGER ORQUESTRA EM PARIS</t>
        </is>
      </c>
      <c r="I821" t="inlineStr">
        <is>
          <t>GLASS MARCANO, 24 ANOS, PEDIU DINHEIRO EMPRESTADO, DEIXOU PAÍS NA PANDEMIA E CHEGOU À SEMIFINAL DE CONCURSO PARA MAESTRAS.</t>
        </is>
      </c>
      <c r="J821">
        <f>HYPERLINK("https://g1.globo.com/mundo/noticia/2020/12/02/a-jovem-venezuelana-que-em-3-meses-deixou-de-vender-frutas-em-sua-cidade-e-passou-a-reger-orquestra-em-paris.ghtml", "URL")</f>
        <v/>
      </c>
      <c r="K821">
        <f>HYPERLINK("https://raw.githubusercontent.com/marcosmapl/dataset_imigrantes/main/noticias_filtered/g1/venezuelanos/2020/11_dez/html/g1_89027466-2328-11ed-b24f-6dbe51e79fca_4084.html", "HTML")</f>
        <v/>
      </c>
      <c r="L821">
        <f>HYPERLINK("https://raw.githubusercontent.com/marcosmapl/dataset_imigrantes/main/noticias_filtered/g1/venezuelanos/2020/11_dez/txt/g1_89027466-2328-11ed-b24f-6dbe51e79fca_4084.txt", "TXT")</f>
        <v/>
      </c>
    </row>
    <row r="822">
      <c r="A822" s="1" t="n">
        <v>820</v>
      </c>
      <c r="B822" t="n">
        <v>2020</v>
      </c>
      <c r="C822" s="2" t="n">
        <v>44167.61527777778</v>
      </c>
      <c r="D822" t="inlineStr">
        <is>
          <t>A CRITICA</t>
        </is>
      </c>
      <c r="E822" t="inlineStr">
        <is>
          <t>VENEZUELANOS</t>
        </is>
      </c>
      <c r="F822" t="inlineStr">
        <is>
          <t>ESPORTES</t>
        </is>
      </c>
      <c r="G822" t="inlineStr">
        <is>
          <t>DANIEL PRESTES</t>
        </is>
      </c>
      <c r="H822" t="inlineStr">
        <is>
          <t>PLENO DO TJD-AM JULGARÁ RECURSO DO JC NO PRÓXIMO DIA 17</t>
        </is>
      </c>
      <c r="I822" t="inlineStr">
        <is>
          <t>O PRESIDENTE DO TRIBUNAL, EDSON ROSAS, CONFIRMOU A DATA DO JULGAMENTO QUE IRÁ DEFINIR O DESTINO DO CAMPEONATO AMAZONENSE FEMININO</t>
        </is>
      </c>
      <c r="J822">
        <f>HYPERLINK("https://www.acritica.com/esportes/pleno-do-tjd-am-julgara-recurso-do-jc-no-proximo-dia-17-1.27887", "URL")</f>
        <v/>
      </c>
      <c r="K822">
        <f>HYPERLINK("https://raw.githubusercontent.com/marcosmapl/dataset_imigrantes/main/noticias_filtered/a_critica/venezuelanos/2020/11_dez/html/1.27887_1024.html", "HTML")</f>
        <v/>
      </c>
      <c r="L822">
        <f>HYPERLINK("https://raw.githubusercontent.com/marcosmapl/dataset_imigrantes/main/noticias_filtered/a_critica/venezuelanos/2020/11_dez/txt/1.27887_1024.txt", "TXT")</f>
        <v/>
      </c>
    </row>
    <row r="823">
      <c r="A823" s="1" t="n">
        <v>821</v>
      </c>
      <c r="B823" t="n">
        <v>2020</v>
      </c>
      <c r="C823" s="2" t="n">
        <v>44166.94275635417</v>
      </c>
      <c r="D823" t="inlineStr">
        <is>
          <t>G1</t>
        </is>
      </c>
      <c r="E823" t="inlineStr">
        <is>
          <t>VENEZUELANOS</t>
        </is>
      </c>
      <c r="F823" t="inlineStr">
        <is>
          <t>DISTRITO FEDERAL</t>
        </is>
      </c>
      <c r="G823" t="inlineStr">
        <is>
          <t>G1 DF E TV GLOBO</t>
        </is>
      </c>
      <c r="H823" t="inlineStr">
        <is>
          <t>INDÍGENAS VENEZUELANOS ACAMPAM PRÓXIMO À RODOVIÁRIA INTERESTADUAL DE BRASÍLIA</t>
        </is>
      </c>
      <c r="I823" t="inlineStr">
        <is>
          <t>INDÍGENAS DA ETNIA WARAO SAÍRAM DE RORAIMA, PASSARAM PELO AMAPÁ E ESTÃO EM BUSCA DE MORADIA. GRUPO SOBREVIVE DE DOAÇÕES.</t>
        </is>
      </c>
      <c r="J823">
        <f>HYPERLINK("https://g1.globo.com/df/distrito-federal/noticia/2020/12/01/indios-venezuelanos-acampam-proximo-a-rodoviaria-interestadual-de-brasilia.ghtml", "URL")</f>
        <v/>
      </c>
      <c r="K823">
        <f>HYPERLINK("https://raw.githubusercontent.com/marcosmapl/dataset_imigrantes/main/noticias_filtered/g1/venezuelanos/2020/11_dez/html/g1_977b2c38-2321-11ed-b24f-6dbe51e79fca_3709.html", "HTML")</f>
        <v/>
      </c>
      <c r="L823">
        <f>HYPERLINK("https://raw.githubusercontent.com/marcosmapl/dataset_imigrantes/main/noticias_filtered/g1/venezuelanos/2020/11_dez/txt/g1_977b2c38-2321-11ed-b24f-6dbe51e79fca_3709.txt", "TXT")</f>
        <v/>
      </c>
    </row>
    <row r="824">
      <c r="A824" s="1" t="n">
        <v>822</v>
      </c>
      <c r="B824" t="n">
        <v>2020</v>
      </c>
      <c r="C824" s="2" t="n">
        <v>44165.39049708333</v>
      </c>
      <c r="D824" t="inlineStr">
        <is>
          <t>G1</t>
        </is>
      </c>
      <c r="E824" t="inlineStr">
        <is>
          <t>VENEZUELANOS</t>
        </is>
      </c>
      <c r="F824" t="inlineStr">
        <is>
          <t>SUL DE MINAS</t>
        </is>
      </c>
      <c r="G824" t="inlineStr">
        <is>
          <t>G1 SUL DE MINAS</t>
        </is>
      </c>
      <c r="H824" t="inlineStr">
        <is>
          <t>DENTISTA DO SUL DE MG FAZ PARTE DE EQUIPE QUE LEVA TRATAMENTO A REFUGIADOS VENEZUELANOS</t>
        </is>
      </c>
      <c r="I824" t="inlineStr">
        <is>
          <t>O PROJETO OFERECE ACOLHIMENTO, ALIMENTAÇÃO, TRATAMENTOS DE SAÚDE E ASSISTÊNCIA PARA QUE OS REFUGIADOS POSSAM SE RESTABELECER NO PAÍS.</t>
        </is>
      </c>
      <c r="J824">
        <f>HYPERLINK("https://g1.globo.com/mg/sul-de-minas/noticia/2020/11/30/dentista-de-tres-coracoes-faz-parte-de-equipe-que-leva-tratamento-a-refugiados-venezuelanos.ghtml", "URL")</f>
        <v/>
      </c>
      <c r="K824">
        <f>HYPERLINK("https://raw.githubusercontent.com/marcosmapl/dataset_imigrantes/main/noticias_filtered/g1/venezuelanos/2020/10_nov/html/g1_55997822-230f-11ed-b24f-6dbe51e79fca_2790.html", "HTML")</f>
        <v/>
      </c>
      <c r="L824">
        <f>HYPERLINK("https://raw.githubusercontent.com/marcosmapl/dataset_imigrantes/main/noticias_filtered/g1/venezuelanos/2020/10_nov/txt/g1_55997822-230f-11ed-b24f-6dbe51e79fca_2790.txt", "TXT")</f>
        <v/>
      </c>
    </row>
    <row r="825">
      <c r="A825" s="1" t="n">
        <v>823</v>
      </c>
      <c r="B825" t="n">
        <v>2020</v>
      </c>
      <c r="C825" s="2" t="n">
        <v>44164.45902777778</v>
      </c>
      <c r="D825" t="inlineStr">
        <is>
          <t>PORTAL AMAZONIA</t>
        </is>
      </c>
      <c r="E825" t="inlineStr">
        <is>
          <t>VENEZUELANOS</t>
        </is>
      </c>
      <c r="F825" t="inlineStr">
        <is>
          <t>AMAZONAS,CIDADANIA</t>
        </is>
      </c>
      <c r="G825" t="inlineStr">
        <is>
          <t>REDAÇÃO - JORNALISMO@PORTALAMAZONIA.COM</t>
        </is>
      </c>
      <c r="H825" t="inlineStr">
        <is>
          <t>ONG HERMANITOS, QUE APOIA IMIGRANTES VENEZUELANOS, REALIZA FESTIVAL DA PIZZA PARA ARRECADAR RECURSOS</t>
        </is>
      </c>
      <c r="I825" t="inlineStr">
        <is>
          <t>O EVENTO BENEFICENTE TEM COMO OBJETIVO ARRECADAR RECURSOS PARA SUBSIDIAR AS DESPESAS MENSAIS DA INSTITUIÇÃO.</t>
        </is>
      </c>
      <c r="J825">
        <f>HYPERLINK("https://portalamazonia.com/noticias/cidadania/ong-hermanitos-que-apoia-imigrantes-venezuelanos-realiza-festival-da-pizza-para-arrecadar-recursos", "URL")</f>
        <v/>
      </c>
      <c r="K825">
        <f>HYPERLINK("https://raw.githubusercontent.com/marcosmapl/dataset_imigrantes/main/noticias_filtered/portal_amazonia/venezuelanos/2020/10_nov/html/29483.64487_1419.html", "HTML")</f>
        <v/>
      </c>
      <c r="L825">
        <f>HYPERLINK("https://raw.githubusercontent.com/marcosmapl/dataset_imigrantes/main/noticias_filtered/portal_amazonia/venezuelanos/2020/10_nov/txt/29483.64487_1419.txt", "TXT")</f>
        <v/>
      </c>
    </row>
    <row r="826">
      <c r="A826" s="1" t="n">
        <v>824</v>
      </c>
      <c r="B826" t="n">
        <v>2020</v>
      </c>
      <c r="C826" s="2" t="n">
        <v>44162.89228818287</v>
      </c>
      <c r="D826" t="inlineStr">
        <is>
          <t>G1</t>
        </is>
      </c>
      <c r="E826" t="inlineStr">
        <is>
          <t>VENEZUELANOS</t>
        </is>
      </c>
      <c r="F826" t="inlineStr">
        <is>
          <t>PRESIDENTE PRUDENTE E REGIÃO</t>
        </is>
      </c>
      <c r="G826" t="inlineStr">
        <is>
          <t>G1 PRESIDENTE PRUDENTE</t>
        </is>
      </c>
      <c r="H826" t="inlineStr">
        <is>
          <t>VENEZUELANO É PRESO EM FLAGRANTE COM CÁPSULAS DE COCAÍNA NAS ROUPAS E DENTRO DO CORPO EM REGENTE FEIJÓ</t>
        </is>
      </c>
      <c r="I826" t="inlineStr">
        <is>
          <t>ABORDAGEM OCORREU NA RODOVIA RAPOSO TAVARES (SP-270). PASSAGEIRO DE ÔNIBUS FOI LEVADO PARA O HOSPITAL REGIONAL PARA EXPELIR AS PORÇÕES DE DROGA QUE HAVIA INGERIDO.</t>
        </is>
      </c>
      <c r="J826">
        <f>HYPERLINK("https://g1.globo.com/sp/presidente-prudente-regiao/noticia/2020/11/27/venezuelano-e-preso-em-flagrante-com-capsulas-de-cocaina-nas-roupas-e-dentro-do-corpo-em-regente-feijo.ghtml", "URL")</f>
        <v/>
      </c>
      <c r="K826">
        <f>HYPERLINK("https://raw.githubusercontent.com/marcosmapl/dataset_imigrantes/main/noticias_filtered/g1/venezuelanos/2020/10_nov/html/g1_15157fa6-2325-11ed-b24f-6dbe51e79fca_3896.html", "HTML")</f>
        <v/>
      </c>
      <c r="L826">
        <f>HYPERLINK("https://raw.githubusercontent.com/marcosmapl/dataset_imigrantes/main/noticias_filtered/g1/venezuelanos/2020/10_nov/txt/g1_15157fa6-2325-11ed-b24f-6dbe51e79fca_3896.txt", "TXT")</f>
        <v/>
      </c>
    </row>
    <row r="827">
      <c r="A827" s="1" t="n">
        <v>825</v>
      </c>
      <c r="B827" t="n">
        <v>2020</v>
      </c>
      <c r="C827" s="2" t="n">
        <v>44161.93958333333</v>
      </c>
      <c r="D827" t="inlineStr">
        <is>
          <t>A CRITICA</t>
        </is>
      </c>
      <c r="E827" t="inlineStr">
        <is>
          <t>VENEZUELANOS</t>
        </is>
      </c>
      <c r="F827" t="inlineStr">
        <is>
          <t>OPINIAO</t>
        </is>
      </c>
      <c r="G827" t="inlineStr">
        <is>
          <t>DULCE RODRIGUEZ</t>
        </is>
      </c>
      <c r="H827" t="inlineStr">
        <is>
          <t>AJUDANDO UNS AOS OUTROS CONSTRUÍMOS UM MUNDO MELHOR</t>
        </is>
      </c>
      <c r="I827" t="inlineStr">
        <is>
          <t>VEM AÍ O FESTIVAL DA PIZZA “HERMANITOS” NO SÁBADO 05/12, DAS 11H ÀS 15H, PARA ARRECADAR FUNDOS E APOIAR NOSSOS IRMÃOS VENEZUELANOS. PARTICIPE!</t>
        </is>
      </c>
      <c r="J827">
        <f>HYPERLINK("https://www.acritica.com/opiniao/ajudando-uns-aos-outros-construimos-um-mundo-melhor-1.216119", "URL")</f>
        <v/>
      </c>
      <c r="K827">
        <f>HYPERLINK("https://raw.githubusercontent.com/marcosmapl/dataset_imigrantes/main/noticias_filtered/a_critica/venezuelanos/2020/10_nov/html/1.216119_377.html", "HTML")</f>
        <v/>
      </c>
      <c r="L827">
        <f>HYPERLINK("https://raw.githubusercontent.com/marcosmapl/dataset_imigrantes/main/noticias_filtered/a_critica/venezuelanos/2020/10_nov/txt/1.216119_377.txt", "TXT")</f>
        <v/>
      </c>
    </row>
    <row r="828">
      <c r="A828" s="1" t="n">
        <v>826</v>
      </c>
      <c r="B828" t="n">
        <v>2020</v>
      </c>
      <c r="C828" s="2" t="n">
        <v>44160.375</v>
      </c>
      <c r="D828" t="inlineStr">
        <is>
          <t>PORTAL AMAZONIA</t>
        </is>
      </c>
      <c r="E828" t="inlineStr">
        <is>
          <t>VENEZUELANOS</t>
        </is>
      </c>
      <c r="F828" t="inlineStr">
        <is>
          <t>AMAZÔNIA INTERNACIONAL,NOTÍCIAS,CIDADES</t>
        </is>
      </c>
      <c r="G828" t="inlineStr">
        <is>
          <t>PORTAL AMAZÔNIA, COM INFORMAÇÕES DA AGÊNCIA BRASIL</t>
        </is>
      </c>
      <c r="H828" t="inlineStr">
        <is>
          <t>COVID-19: VENEZUELA TEM MAIS DE 100 MIL CASOS DA DOENÇA</t>
        </is>
      </c>
      <c r="I828" t="inlineStr">
        <is>
          <t>CARACAS REGISTROU MAIOR NÚMERO DE INFECTADOS.</t>
        </is>
      </c>
      <c r="J828">
        <f>HYPERLINK("https://portalamazonia.com/estados/amazonia-internacional/covid-19-venezuela-tem-mais-de-100-mil-casos-da-doenca", "URL")</f>
        <v/>
      </c>
      <c r="K828">
        <f>HYPERLINK("https://raw.githubusercontent.com/marcosmapl/dataset_imigrantes/main/noticias_filtered/portal_amazonia/venezuelanos/2020/10_nov/html/29425.64378_1608.html", "HTML")</f>
        <v/>
      </c>
      <c r="L828">
        <f>HYPERLINK("https://raw.githubusercontent.com/marcosmapl/dataset_imigrantes/main/noticias_filtered/portal_amazonia/venezuelanos/2020/10_nov/txt/29425.64378_1608.txt", "TXT")</f>
        <v/>
      </c>
    </row>
    <row r="829">
      <c r="A829" s="1" t="n">
        <v>827</v>
      </c>
      <c r="B829" t="n">
        <v>2020</v>
      </c>
      <c r="C829" s="2" t="n">
        <v>44156.80894766204</v>
      </c>
      <c r="D829" t="inlineStr">
        <is>
          <t>G1</t>
        </is>
      </c>
      <c r="E829" t="inlineStr">
        <is>
          <t>VENEZUELANOS</t>
        </is>
      </c>
      <c r="F829" t="inlineStr">
        <is>
          <t>RORAIMA</t>
        </is>
      </c>
      <c r="G829" t="inlineStr">
        <is>
          <t>G1 RR — BOA VISTA</t>
        </is>
      </c>
      <c r="H829" t="inlineStr">
        <is>
          <t>VENEZUELANOS MORADORES DE RUA SÃO ESFAQUEADOS ENQUANTO DORMIAM EM FEIRA DE BOA VISTA</t>
        </is>
      </c>
      <c r="I829" t="inlineStr">
        <is>
          <t>VÍTIMAS, DE 21 E 32 ANOS, ESTAVAM NA FEIRA DO PRODUTOR, QUANDO FORAM ATACADOS NA MANHÃ DESTE SÁBADO (21). UM DELES LEVOU DUAS FACADAS NA REGIÃO DA NUCA E PRECISOU PASSAR POR CIRURGIA.</t>
        </is>
      </c>
      <c r="J829">
        <f>HYPERLINK("https://g1.globo.com/rr/roraima/noticia/2020/11/21/moradores-de-rua-sao-esfaqueados-enquanto-dormiam-em-feira-de-boa-vista.ghtml", "URL")</f>
        <v/>
      </c>
      <c r="K829">
        <f>HYPERLINK("https://raw.githubusercontent.com/marcosmapl/dataset_imigrantes/main/noticias_filtered/g1/venezuelanos/2020/10_nov/html/g1_0e59dede-230f-11ed-b24f-6dbe51e79fca_2776.html", "HTML")</f>
        <v/>
      </c>
      <c r="L829">
        <f>HYPERLINK("https://raw.githubusercontent.com/marcosmapl/dataset_imigrantes/main/noticias_filtered/g1/venezuelanos/2020/10_nov/txt/g1_0e59dede-230f-11ed-b24f-6dbe51e79fca_2776.txt", "TXT")</f>
        <v/>
      </c>
    </row>
    <row r="830">
      <c r="A830" s="1" t="n">
        <v>828</v>
      </c>
      <c r="B830" t="n">
        <v>2020</v>
      </c>
      <c r="C830" s="2" t="n">
        <v>44156.48037280093</v>
      </c>
      <c r="D830" t="inlineStr">
        <is>
          <t>G1</t>
        </is>
      </c>
      <c r="E830" t="inlineStr">
        <is>
          <t>HAITIANOS</t>
        </is>
      </c>
      <c r="F830" t="inlineStr">
        <is>
          <t>CAMPOS GERAIS E SUL</t>
        </is>
      </c>
      <c r="G830" t="inlineStr">
        <is>
          <t>RPC GUARAPUAVA</t>
        </is>
      </c>
      <c r="H830" t="inlineStr">
        <is>
          <t>MULHER ENTRA EM TRABALHO DE PARTO DURANTE VIAGEM, E BEBÊ NASCE EM PRAÇA DE PEDÁGIO, NO PARANÁ</t>
        </is>
      </c>
      <c r="I830" t="inlineStr">
        <is>
          <t>MÃE É HAITIANA E NÃO SABE FALAR PORTUGUÊS, DE ACORDO COM A CONCESSIONÁRIA QUE ADMINISTRA O TRECHO. MULHER E BEBÊ PASSAM BEM.</t>
        </is>
      </c>
      <c r="J830">
        <f>HYPERLINK("https://g1.globo.com/pr/campos-gerais-sul/noticia/2020/11/21/mulher-entra-em-trabalho-de-parto-durante-viagem-e-bebe-nasce-em-praca-de-pedagio-no-parana.ghtml", "URL")</f>
        <v/>
      </c>
      <c r="K830">
        <f>HYPERLINK("https://raw.githubusercontent.com/marcosmapl/dataset_imigrantes/main/noticias_filtered/g1/haitianos/2020/10_nov/html/g1_b16cc89c-230b-11ed-b24f-6dbe51e79fca_2581.html", "HTML")</f>
        <v/>
      </c>
      <c r="L830">
        <f>HYPERLINK("https://raw.githubusercontent.com/marcosmapl/dataset_imigrantes/main/noticias_filtered/g1/haitianos/2020/10_nov/txt/g1_b16cc89c-230b-11ed-b24f-6dbe51e79fca_2581.txt", "TXT")</f>
        <v/>
      </c>
    </row>
    <row r="831">
      <c r="A831" s="1" t="n">
        <v>829</v>
      </c>
      <c r="B831" t="n">
        <v>2020</v>
      </c>
      <c r="C831" s="2" t="n">
        <v>44154.83150394676</v>
      </c>
      <c r="D831" t="inlineStr">
        <is>
          <t>G1</t>
        </is>
      </c>
      <c r="E831" t="inlineStr">
        <is>
          <t>VENEZUELANOS</t>
        </is>
      </c>
      <c r="F831" t="inlineStr">
        <is>
          <t>MUNDO</t>
        </is>
      </c>
      <c r="G831" t="inlineStr">
        <is>
          <t>MARIELA NAVA E LUC COHEN, REUTERS</t>
        </is>
      </c>
      <c r="H831" t="inlineStr">
        <is>
          <t>DESESPERADOS, VENEZUELANOS ROUBAM PETRÓLEO DA PDVSA E PRODUZEM A PRÓPRIA GASOLINA</t>
        </is>
      </c>
      <c r="I831" t="inlineStr">
        <is>
          <t>ESCASSEZ DO COMBUSTÍVEL NA MAIOR RESERVA DE PETRÓLEO DO MUNDO MOSTRA O TAMANHO DO COLAPSO ECONÔMICO NA VENEZUELA, RETRATA REPORTAGEM DA AGÊNCIA REUTERS.</t>
        </is>
      </c>
      <c r="J831">
        <f>HYPERLINK("https://g1.globo.com/mundo/noticia/2020/11/19/desesperados-venezuelanos-roubam-petroleo-da-pdvsa-e-produzem-a-propria-gasolina.ghtml", "URL")</f>
        <v/>
      </c>
      <c r="K831">
        <f>HYPERLINK("https://raw.githubusercontent.com/marcosmapl/dataset_imigrantes/main/noticias_filtered/g1/venezuelanos/2020/10_nov/html/g1_7a4c09c2-2329-11ed-b24f-6dbe51e79fca_4119.html", "HTML")</f>
        <v/>
      </c>
      <c r="L831">
        <f>HYPERLINK("https://raw.githubusercontent.com/marcosmapl/dataset_imigrantes/main/noticias_filtered/g1/venezuelanos/2020/10_nov/txt/g1_7a4c09c2-2329-11ed-b24f-6dbe51e79fca_4119.txt", "TXT")</f>
        <v/>
      </c>
    </row>
    <row r="832">
      <c r="A832" s="1" t="n">
        <v>830</v>
      </c>
      <c r="B832" t="n">
        <v>2020</v>
      </c>
      <c r="C832" s="2" t="n">
        <v>44153.43798212963</v>
      </c>
      <c r="D832" t="inlineStr">
        <is>
          <t>G1</t>
        </is>
      </c>
      <c r="E832" t="inlineStr">
        <is>
          <t>VENEZUELANOS</t>
        </is>
      </c>
      <c r="F832" t="inlineStr">
        <is>
          <t>RORAIMA</t>
        </is>
      </c>
      <c r="G832" t="inlineStr">
        <is>
          <t>G1 RR — BOA VISTA</t>
        </is>
      </c>
      <c r="H832" t="inlineStr">
        <is>
          <t>CÁRITAS INICIA 2ª ETAPA DE PROJETO PARA ATENDER VENEZUELANOS COM ÁGUA, SANEAMENTO E HIGIENE EM RORAIMA</t>
        </is>
      </c>
      <c r="I832" t="inlineStr">
        <is>
          <t>PROJETO ORINOCO DEVE ATENDER NECESSIDADES URGENTES DE 6.554 MIGRANTES EM AO MENOS 14 OCUPAÇÕES ESPONTÂNEAS, EM BOA VISTA E PACARAIMA.</t>
        </is>
      </c>
      <c r="J832">
        <f>HYPERLINK("https://g1.globo.com/rr/roraima/noticia/2020/11/18/caritas-inicia-2a-etapa-de-projeto-para-atender-venezuelanos-com-agua-saneamento-e-higiene-em-roraima.ghtml", "URL")</f>
        <v/>
      </c>
      <c r="K832">
        <f>HYPERLINK("https://raw.githubusercontent.com/marcosmapl/dataset_imigrantes/main/noticias_filtered/g1/venezuelanos/2020/10_nov/html/g1_40f05c3e-2322-11ed-b24f-6dbe51e79fca_3743.html", "HTML")</f>
        <v/>
      </c>
      <c r="L832">
        <f>HYPERLINK("https://raw.githubusercontent.com/marcosmapl/dataset_imigrantes/main/noticias_filtered/g1/venezuelanos/2020/10_nov/txt/g1_40f05c3e-2322-11ed-b24f-6dbe51e79fca_3743.txt", "TXT")</f>
        <v/>
      </c>
    </row>
    <row r="833">
      <c r="A833" s="1" t="n">
        <v>831</v>
      </c>
      <c r="B833" t="n">
        <v>2020</v>
      </c>
      <c r="C833" s="2" t="n">
        <v>44150.81186293982</v>
      </c>
      <c r="D833" t="inlineStr">
        <is>
          <t>G1</t>
        </is>
      </c>
      <c r="E833" t="inlineStr">
        <is>
          <t>HAITIANOS</t>
        </is>
      </c>
      <c r="F833" t="inlineStr">
        <is>
          <t>SOROCABA E JUNDIAÍ</t>
        </is>
      </c>
      <c r="G833" t="inlineStr">
        <is>
          <t>G1 SOROCABA E JUNDIAÍ</t>
        </is>
      </c>
      <c r="H833" t="inlineStr">
        <is>
          <t>HAITIANO É MORTO APÓS DISCUSSÃO EM FORRÓ EM ITUPEVA</t>
        </is>
      </c>
      <c r="I833" t="inlineStr">
        <is>
          <t>SEGUNDO O BOLETIM DE OCORRÊNCIA, OUTRO HAITIANO É SUSPEITO DO CRIME, QUE TERIA OCORRIDO EM UMA BRIGA POR MULHER.</t>
        </is>
      </c>
      <c r="J833">
        <f>HYPERLINK("https://g1.globo.com/sp/sorocaba-jundiai/noticia/2020/11/15/haitiano-e-morto-apos-discussao-em-forro-em-itupeva.ghtml", "URL")</f>
        <v/>
      </c>
      <c r="K833">
        <f>HYPERLINK("https://raw.githubusercontent.com/marcosmapl/dataset_imigrantes/main/noticias_filtered/g1/haitianos/2020/10_nov/html/g1_e551e50e-22f5-11ed-b24f-6dbe51e79fca_1979.html", "HTML")</f>
        <v/>
      </c>
      <c r="L833">
        <f>HYPERLINK("https://raw.githubusercontent.com/marcosmapl/dataset_imigrantes/main/noticias_filtered/g1/haitianos/2020/10_nov/txt/g1_e551e50e-22f5-11ed-b24f-6dbe51e79fca_1979.txt", "TXT")</f>
        <v/>
      </c>
    </row>
    <row r="834">
      <c r="A834" s="1" t="n">
        <v>832</v>
      </c>
      <c r="B834" t="n">
        <v>2020</v>
      </c>
      <c r="C834" s="2" t="n">
        <v>44148.97146990741</v>
      </c>
      <c r="D834" t="inlineStr">
        <is>
          <t>A CRITICA</t>
        </is>
      </c>
      <c r="E834" t="inlineStr">
        <is>
          <t>VENEZUELANOS</t>
        </is>
      </c>
      <c r="F834" t="inlineStr">
        <is>
          <t>ESPORTES</t>
        </is>
      </c>
      <c r="G834" t="inlineStr">
        <is>
          <t>DANIEL PRESTES</t>
        </is>
      </c>
      <c r="H834" t="inlineStr">
        <is>
          <t>3B GOLEIA REAL ARIQUEMES E VAI COM MORAL PRA FASE DE MATA-MATA DA SÉRIE A2</t>
        </is>
      </c>
      <c r="I834" t="inlineStr">
        <is>
          <t>APÓS TEMPORAL EM RONDÔNIA, A FERA FEZ CHOVER GOLS PRA CIMA DO FURACÃO DO VALE DO JAMARI. O 3B FECHA PRIMEIRA FASE COM 100% DE APROVEITAMENTO E AGUARDA ADVERSÁRIO DA PRÓXIMA FASE</t>
        </is>
      </c>
      <c r="J834">
        <f>HYPERLINK("https://www.acritica.com/esportes/3b-goleia-real-ariquemes-e-vai-com-moral-pra-fase-de-mata-mata-da-serie-a2-1.29585", "URL")</f>
        <v/>
      </c>
      <c r="K834">
        <f>HYPERLINK("https://raw.githubusercontent.com/marcosmapl/dataset_imigrantes/main/noticias_filtered/a_critica/venezuelanos/2020/10_nov/html/1.29585_1075.html", "HTML")</f>
        <v/>
      </c>
      <c r="L834">
        <f>HYPERLINK("https://raw.githubusercontent.com/marcosmapl/dataset_imigrantes/main/noticias_filtered/a_critica/venezuelanos/2020/10_nov/txt/1.29585_1075.txt", "TXT")</f>
        <v/>
      </c>
    </row>
    <row r="835">
      <c r="A835" s="1" t="n">
        <v>833</v>
      </c>
      <c r="B835" t="n">
        <v>2020</v>
      </c>
      <c r="C835" s="2" t="n">
        <v>44148.88130001158</v>
      </c>
      <c r="D835" t="inlineStr">
        <is>
          <t>G1</t>
        </is>
      </c>
      <c r="E835" t="inlineStr">
        <is>
          <t>VENEZUELANOS</t>
        </is>
      </c>
      <c r="F835" t="inlineStr">
        <is>
          <t>MARANHÃO</t>
        </is>
      </c>
      <c r="G835" t="inlineStr">
        <is>
          <t>G1 MA — SÃO LUÍS</t>
        </is>
      </c>
      <c r="H835" t="inlineStr">
        <is>
          <t>VENEZUELANO É ENCONTRADO COM OS ÓRGÃOS GENITAIS ARRANCADOS NA BR-230 NO MARANHÃO</t>
        </is>
      </c>
      <c r="I835" t="inlineStr">
        <is>
          <t>A VÍTIMA FOI ENCONTRADA NA MANHÃ DESTA SEXTA-FEIRA (13), DENTRO DE UM CARRO COM PARTE DOS ÓRGÃOS GENITAIS ARRANCADOS.</t>
        </is>
      </c>
      <c r="J835">
        <f>HYPERLINK("https://g1.globo.com/ma/maranhao/noticia/2020/11/13/venezuelano-e-encontrado-com-os-orgaos-genitais-arrancados-na-br-230-no-maranhao.ghtml", "URL")</f>
        <v/>
      </c>
      <c r="K835">
        <f>HYPERLINK("https://raw.githubusercontent.com/marcosmapl/dataset_imigrantes/main/noticias_filtered/g1/venezuelanos/2020/10_nov/html/g1_0c21f8fc-2316-11ed-b24f-6dbe51e79fca_3123.html", "HTML")</f>
        <v/>
      </c>
      <c r="L835">
        <f>HYPERLINK("https://raw.githubusercontent.com/marcosmapl/dataset_imigrantes/main/noticias_filtered/g1/venezuelanos/2020/10_nov/txt/g1_0c21f8fc-2316-11ed-b24f-6dbe51e79fca_3123.txt", "TXT")</f>
        <v/>
      </c>
    </row>
    <row r="836">
      <c r="A836" s="1" t="n">
        <v>834</v>
      </c>
      <c r="B836" t="n">
        <v>2020</v>
      </c>
      <c r="C836" s="2" t="n">
        <v>44146.93797453704</v>
      </c>
      <c r="D836" t="inlineStr">
        <is>
          <t>A CRITICA</t>
        </is>
      </c>
      <c r="E836" t="inlineStr">
        <is>
          <t>VENEZUELANOS</t>
        </is>
      </c>
      <c r="F836" t="inlineStr">
        <is>
          <t>ESPORTES</t>
        </is>
      </c>
      <c r="G836" t="inlineStr">
        <is>
          <t>PORTAL A CRÍTICA</t>
        </is>
      </c>
      <c r="H836" t="inlineStr">
        <is>
          <t>APÓS PEREGRINAÇÃO NA PANDEMIA, ICES VICTÓRIA QUER TRIUNFO DO 3B</t>
        </is>
      </c>
      <c r="I836" t="inlineStr">
        <is>
          <t>VENEZUELANA CHEGOU A TREINAR PELO REAL ARIQUEMES-RO, MAS O CLUBE DE RONDÔNIA NUNCA CONSEGUIU REGULARIZÁ-LA. RECÉM-CONTRATADA PELA FERA, A LATERAL, ENFIM, ENCONTROU A FELICIDADE EM MANAUS</t>
        </is>
      </c>
      <c r="J836">
        <f>HYPERLINK("https://www.acritica.com/esportes/apos-peregrinac-o-na-pandemia-ices-victoria-quer-triunfo-do-3b-1.29684", "URL")</f>
        <v/>
      </c>
      <c r="K836">
        <f>HYPERLINK("https://raw.githubusercontent.com/marcosmapl/dataset_imigrantes/main/noticias_filtered/a_critica/venezuelanos/2020/10_nov/html/1.29684_1364.html", "HTML")</f>
        <v/>
      </c>
      <c r="L836">
        <f>HYPERLINK("https://raw.githubusercontent.com/marcosmapl/dataset_imigrantes/main/noticias_filtered/a_critica/venezuelanos/2020/10_nov/txt/1.29684_1364.txt", "TXT")</f>
        <v/>
      </c>
    </row>
    <row r="837">
      <c r="A837" s="1" t="n">
        <v>835</v>
      </c>
      <c r="B837" t="n">
        <v>2020</v>
      </c>
      <c r="C837" s="2" t="n">
        <v>44144.87777777778</v>
      </c>
      <c r="D837" t="inlineStr">
        <is>
          <t>A CRITICA</t>
        </is>
      </c>
      <c r="E837" t="inlineStr">
        <is>
          <t>VENEZUELANOS</t>
        </is>
      </c>
      <c r="F837" t="inlineStr">
        <is>
          <t>MANAUS</t>
        </is>
      </c>
      <c r="G837" t="inlineStr">
        <is>
          <t>PORTAL A CRÍTICA</t>
        </is>
      </c>
      <c r="H837" t="inlineStr">
        <is>
          <t>UNICEF SELECIONA 100 JOVENS PARA CRIAREM SOLUÇÕES DESTINADAS A REFUGIADOS E MIGRANTES</t>
        </is>
      </c>
      <c r="I837" t="inlineStr">
        <is>
          <t>MARATONA SOCIAL CHAMA NA SOLUÇÃO É PARTE DA ARTICULAÇÃO NACIONAL “UM MILHÃO DE OPORTUNIDADES”. AS MELHORES PROPOSTAS SERÃO PREMIADAS COM TABLETS E KITS DE APRENDIZAGEM</t>
        </is>
      </c>
      <c r="J837">
        <f>HYPERLINK("https://www.acritica.com/manaus/unicef-seleciona-100-jovens-para-criarem-soluc-es-destinadas-a-refugiados-e-migrantes-1.28704", "URL")</f>
        <v/>
      </c>
      <c r="K837">
        <f>HYPERLINK("https://raw.githubusercontent.com/marcosmapl/dataset_imigrantes/main/noticias_filtered/a_critica/venezuelanos/2020/10_nov/html/1.28704_1269.html", "HTML")</f>
        <v/>
      </c>
      <c r="L837">
        <f>HYPERLINK("https://raw.githubusercontent.com/marcosmapl/dataset_imigrantes/main/noticias_filtered/a_critica/venezuelanos/2020/10_nov/txt/1.28704_1269.txt", "TXT")</f>
        <v/>
      </c>
    </row>
    <row r="838">
      <c r="A838" s="1" t="n">
        <v>836</v>
      </c>
      <c r="B838" t="n">
        <v>2020</v>
      </c>
      <c r="C838" s="2" t="n">
        <v>44144.62222222222</v>
      </c>
      <c r="D838" t="inlineStr">
        <is>
          <t>A CRITICA</t>
        </is>
      </c>
      <c r="E838" t="inlineStr">
        <is>
          <t>VENEZUELANOS</t>
        </is>
      </c>
      <c r="F838" t="inlineStr">
        <is>
          <t>MANAUS</t>
        </is>
      </c>
      <c r="G838" t="inlineStr">
        <is>
          <t>LUCAS VASCONCELOS</t>
        </is>
      </c>
      <c r="H838" t="inlineStr">
        <is>
          <t>PROJETO DA UFAM LEVA AULAS DE PORTUGUÊS PARA CRIANÇAS VENEZUELANAS EM MANAUS</t>
        </is>
      </c>
      <c r="I838" t="inlineStr">
        <is>
          <t>AS CRIANÇAS PARTICIPAM DAS AULAS DE FORMA VIRTUAL, COM TABLETS E AUXÍLIO DE MONITORES DIRETO DOS ABRIGOS LOCALIZADOS NO BAIRRO TARUMÃ E NO CENTRO DE MANAUS</t>
        </is>
      </c>
      <c r="J838">
        <f>HYPERLINK("https://www.acritica.com/manaus/projeto-da-ufam-leva-aulas-de-portugues-para-criancas-venezuelanas-em-manaus-1.29810", "URL")</f>
        <v/>
      </c>
      <c r="K838">
        <f>HYPERLINK("https://raw.githubusercontent.com/marcosmapl/dataset_imigrantes/main/noticias_filtered/a_critica/venezuelanos/2020/10_nov/html/1.29810_1183.html", "HTML")</f>
        <v/>
      </c>
      <c r="L838">
        <f>HYPERLINK("https://raw.githubusercontent.com/marcosmapl/dataset_imigrantes/main/noticias_filtered/a_critica/venezuelanos/2020/10_nov/txt/1.29810_1183.txt", "TXT")</f>
        <v/>
      </c>
    </row>
    <row r="839">
      <c r="A839" s="1" t="n">
        <v>837</v>
      </c>
      <c r="B839" t="n">
        <v>2020</v>
      </c>
      <c r="C839" s="2" t="n">
        <v>44142.88882016204</v>
      </c>
      <c r="D839" t="inlineStr">
        <is>
          <t>G1</t>
        </is>
      </c>
      <c r="E839" t="inlineStr">
        <is>
          <t>VENEZUELANOS</t>
        </is>
      </c>
      <c r="F839" t="inlineStr">
        <is>
          <t>AMAZONAS</t>
        </is>
      </c>
      <c r="G839" t="inlineStr">
        <is>
          <t>REBECA BEATRIZ, G1 AM</t>
        </is>
      </c>
      <c r="H839" t="inlineStr">
        <is>
          <t>SUSPEITO PRESO DIZ QUE MATOU VENEZUELANA APÓS VÍTIMA REAGIR A ASSALTO EM MANAUS</t>
        </is>
      </c>
      <c r="I839" t="inlineStr">
        <is>
          <t>SEGUNDO A POLÍCIA, HOMEM TERIA INVADIDO CASA PARA ROUBAR, MAS MULHER RESISTIU E FOI MORTA. ELE CONFESSOU O CRIME NESTE SÁBADO.</t>
        </is>
      </c>
      <c r="J839">
        <f>HYPERLINK("https://g1.globo.com/am/amazonas/noticia/2020/11/07/suspeito-preso-diz-que-matou-venezuelana-apos-vitima-reagir-a-assalto-em-manaus.ghtml", "URL")</f>
        <v/>
      </c>
      <c r="K839">
        <f>HYPERLINK("https://raw.githubusercontent.com/marcosmapl/dataset_imigrantes/main/noticias_filtered/g1/venezuelanos/2020/10_nov/html/g1_9c64c9fa-230a-11ed-b24f-6dbe51e79fca_2515.html", "HTML")</f>
        <v/>
      </c>
      <c r="L839">
        <f>HYPERLINK("https://raw.githubusercontent.com/marcosmapl/dataset_imigrantes/main/noticias_filtered/g1/venezuelanos/2020/10_nov/txt/g1_9c64c9fa-230a-11ed-b24f-6dbe51e79fca_2515.txt", "TXT")</f>
        <v/>
      </c>
    </row>
    <row r="840">
      <c r="A840" s="1" t="n">
        <v>838</v>
      </c>
      <c r="B840" t="n">
        <v>2020</v>
      </c>
      <c r="C840" s="2" t="n">
        <v>44142.67361111111</v>
      </c>
      <c r="D840" t="inlineStr">
        <is>
          <t>A CRITICA</t>
        </is>
      </c>
      <c r="E840" t="inlineStr">
        <is>
          <t>VENEZUELANOS</t>
        </is>
      </c>
      <c r="F840" t="inlineStr">
        <is>
          <t>POLICIA</t>
        </is>
      </c>
      <c r="G840" t="inlineStr">
        <is>
          <t>JOSEMAR ANTUNES</t>
        </is>
      </c>
      <c r="H840" t="inlineStr">
        <is>
          <t>EM ACAREAÇÃO, HOMEM CONFESSOU QUE MATOU VENEZUELANA PARA ROUBAR</t>
        </is>
      </c>
      <c r="I840" t="inlineStr">
        <is>
          <t>ELE A MATOU COM SETE FACADAS</t>
        </is>
      </c>
      <c r="J840">
        <f>HYPERLINK("https://www.acritica.com/policia/em-acareac-o-homem-confessou-que-matou-venezuelana-para-roubar-1.29857", "URL")</f>
        <v/>
      </c>
      <c r="K840">
        <f>HYPERLINK("https://raw.githubusercontent.com/marcosmapl/dataset_imigrantes/main/noticias_filtered/a_critica/venezuelanos/2020/10_nov/html/1.29857_1002.html", "HTML")</f>
        <v/>
      </c>
      <c r="L840">
        <f>HYPERLINK("https://raw.githubusercontent.com/marcosmapl/dataset_imigrantes/main/noticias_filtered/a_critica/venezuelanos/2020/10_nov/txt/1.29857_1002.txt", "TXT")</f>
        <v/>
      </c>
    </row>
    <row r="841">
      <c r="A841" s="1" t="n">
        <v>839</v>
      </c>
      <c r="B841" t="n">
        <v>2020</v>
      </c>
      <c r="C841" s="2" t="n">
        <v>44141.94015981482</v>
      </c>
      <c r="D841" t="inlineStr">
        <is>
          <t>G1</t>
        </is>
      </c>
      <c r="E841" t="inlineStr">
        <is>
          <t>VENEZUELANOS</t>
        </is>
      </c>
      <c r="F841" t="inlineStr">
        <is>
          <t>AMAZONAS</t>
        </is>
      </c>
      <c r="G841" t="inlineStr">
        <is>
          <t>REBECA BEATRIZ, G1 AM</t>
        </is>
      </c>
      <c r="H841" t="inlineStr">
        <is>
          <t>SUSPEITO DE MATAR VENEZUELANA A FACADAS DENTRO DE CASA É PRESO EM MANAUS</t>
        </is>
      </c>
      <c r="I841" t="inlineStr">
        <is>
          <t>HOMEM SE APRESENTOU À POLÍCIA AO LADO DE ADVOGADO, MAS NÃO CONFESSOU CRIME. VÍTIMA FOI ASSASSINADA NO DOMINGO (1º).</t>
        </is>
      </c>
      <c r="J841">
        <f>HYPERLINK("https://g1.globo.com/am/amazonas/noticia/2020/11/06/suspeito-de-matar-venezuelana-a-facadas-dentro-de-casa-e-preso-em-manaus.ghtml", "URL")</f>
        <v/>
      </c>
      <c r="K841">
        <f>HYPERLINK("https://raw.githubusercontent.com/marcosmapl/dataset_imigrantes/main/noticias_filtered/g1/venezuelanos/2020/10_nov/html/g1_762d5c74-2306-11ed-b24f-6dbe51e79fca_2260.html", "HTML")</f>
        <v/>
      </c>
      <c r="L841">
        <f>HYPERLINK("https://raw.githubusercontent.com/marcosmapl/dataset_imigrantes/main/noticias_filtered/g1/venezuelanos/2020/10_nov/txt/g1_762d5c74-2306-11ed-b24f-6dbe51e79fca_2260.txt", "TXT")</f>
        <v/>
      </c>
    </row>
    <row r="842">
      <c r="A842" s="1" t="n">
        <v>840</v>
      </c>
      <c r="B842" t="n">
        <v>2020</v>
      </c>
      <c r="C842" s="2" t="n">
        <v>44141.87708333333</v>
      </c>
      <c r="D842" t="inlineStr">
        <is>
          <t>A CRITICA</t>
        </is>
      </c>
      <c r="E842" t="inlineStr">
        <is>
          <t>VENEZUELANOS</t>
        </is>
      </c>
      <c r="F842" t="inlineStr">
        <is>
          <t>POLICIA</t>
        </is>
      </c>
      <c r="G842" t="inlineStr">
        <is>
          <t>JOSEMAR ANTUNES</t>
        </is>
      </c>
      <c r="H842" t="inlineStr">
        <is>
          <t>SUSPEITO DE MATAR MULHER COM SETE FACADAS SE ENTREGA À POLÍCIA</t>
        </is>
      </c>
      <c r="I842" t="inlineStr">
        <is>
          <t>FRANYERLIS PASTORA ESCOBAR ALMÃO, 25, FOI MORTA COM SETE FACADAS DENTRO DE CASA, NA MANHÃ DO ÚLTIMO DOMINGO (1°), NA RUA JURUTI, NO BAIRRO ALVORADA, NA ZONA CENTRO-OESTE DE MANAUS</t>
        </is>
      </c>
      <c r="J842">
        <f>HYPERLINK("https://www.acritica.com/policia/suspeito-de-matar-mulher-com-sete-facadas-se-entrega-a-policia-1.28776", "URL")</f>
        <v/>
      </c>
      <c r="K842">
        <f>HYPERLINK("https://raw.githubusercontent.com/marcosmapl/dataset_imigrantes/main/noticias_filtered/a_critica/venezuelanos/2020/10_nov/html/1.28776_70.html", "HTML")</f>
        <v/>
      </c>
      <c r="L842">
        <f>HYPERLINK("https://raw.githubusercontent.com/marcosmapl/dataset_imigrantes/main/noticias_filtered/a_critica/venezuelanos/2020/10_nov/txt/1.28776_70.txt", "TXT")</f>
        <v/>
      </c>
    </row>
    <row r="843">
      <c r="A843" s="1" t="n">
        <v>841</v>
      </c>
      <c r="B843" t="n">
        <v>2020</v>
      </c>
      <c r="C843" s="2" t="n">
        <v>44141.82570946759</v>
      </c>
      <c r="D843" t="inlineStr">
        <is>
          <t>G1</t>
        </is>
      </c>
      <c r="E843" t="inlineStr">
        <is>
          <t>HAITIANOS</t>
        </is>
      </c>
      <c r="F843" t="inlineStr">
        <is>
          <t>RIO GRANDE DO SUL</t>
        </is>
      </c>
      <c r="G843" t="inlineStr">
        <is>
          <t>G1 RS</t>
        </is>
      </c>
      <c r="H843" t="inlineStr">
        <is>
          <t>HAITIANA É PRESA POR SUSPEITA DE MATAR ENTEADO EM CANOAS</t>
        </is>
      </c>
      <c r="I843" t="inlineStr">
        <is>
          <t>CRIANÇA DE 1 ANO E MEIO FOI HOSPITALIZADO COM FERIMENTOS. SEGUNDO DELEGADO, VIZINHOS E FILHA DA SUSPEITA, DE SEIS ANOS, RELATARAM TER PRESENCIADO O ESPANCAMENTO.</t>
        </is>
      </c>
      <c r="J843">
        <f>HYPERLINK("https://g1.globo.com/rs/rio-grande-do-sul/noticia/2020/11/06/haitiana-e-presa-por-suspeita-de-matar-enteado-em-canoas.ghtml", "URL")</f>
        <v/>
      </c>
      <c r="K843">
        <f>HYPERLINK("https://raw.githubusercontent.com/marcosmapl/dataset_imigrantes/main/noticias_filtered/g1/haitianos/2020/10_nov/html/g1_a7ca9ca0-2311-11ed-b24f-6dbe51e79fca_2928.html", "HTML")</f>
        <v/>
      </c>
      <c r="L843">
        <f>HYPERLINK("https://raw.githubusercontent.com/marcosmapl/dataset_imigrantes/main/noticias_filtered/g1/haitianos/2020/10_nov/txt/g1_a7ca9ca0-2311-11ed-b24f-6dbe51e79fca_2928.txt", "TXT")</f>
        <v/>
      </c>
    </row>
    <row r="844">
      <c r="A844" s="1" t="n">
        <v>842</v>
      </c>
      <c r="B844" t="n">
        <v>2020</v>
      </c>
      <c r="C844" s="2" t="n">
        <v>44139.85347222222</v>
      </c>
      <c r="D844" t="inlineStr">
        <is>
          <t>A CRITICA</t>
        </is>
      </c>
      <c r="E844" t="inlineStr">
        <is>
          <t>VENEZUELANOS</t>
        </is>
      </c>
      <c r="F844" t="inlineStr"/>
      <c r="G844" t="inlineStr">
        <is>
          <t>PORTAL A CRÍTICA</t>
        </is>
      </c>
      <c r="H844" t="inlineStr">
        <is>
          <t>MINISTÉRIO DA ECONOMIA ABSOLVE DILMA ROUSSEFF EM CASO DA PETROBRAS</t>
        </is>
      </c>
      <c r="I844" t="inlineStr">
        <is>
          <t>ALÉM DISSO, A CVM RECONHECEU A PRESCRIÇÃO DAS ACUSAÇÕES CONTRA A PETISTA EM PROCESSO SOBRE COMPLEXO PETROQUÍMICO DO RIO DE JANEIRO (COMPERJ)</t>
        </is>
      </c>
      <c r="J844">
        <f>HYPERLINK("https://www.acritica.com/ministerio-da-economia-absolve-dilma-rousseff-em-caso-da-petrobras-1.30041", "URL")</f>
        <v/>
      </c>
      <c r="K844">
        <f>HYPERLINK("https://raw.githubusercontent.com/marcosmapl/dataset_imigrantes/main/noticias_filtered/a_critica/venezuelanos/2020/10_nov/html/1.30041_1086.html", "HTML")</f>
        <v/>
      </c>
      <c r="L844">
        <f>HYPERLINK("https://raw.githubusercontent.com/marcosmapl/dataset_imigrantes/main/noticias_filtered/a_critica/venezuelanos/2020/10_nov/txt/1.30041_1086.txt", "TXT")</f>
        <v/>
      </c>
    </row>
    <row r="845">
      <c r="A845" s="1" t="n">
        <v>843</v>
      </c>
      <c r="B845" t="n">
        <v>2020</v>
      </c>
      <c r="C845" s="2" t="n">
        <v>44139.82797453704</v>
      </c>
      <c r="D845" t="inlineStr">
        <is>
          <t>A CRITICA</t>
        </is>
      </c>
      <c r="E845" t="inlineStr">
        <is>
          <t>VENEZUELANOS</t>
        </is>
      </c>
      <c r="F845" t="inlineStr"/>
      <c r="G845" t="inlineStr">
        <is>
          <t>PORTAL A CRÍTICA</t>
        </is>
      </c>
      <c r="H845" t="inlineStr">
        <is>
          <t>UNICEF REALIZA PROJETO DE CIDADANIA COM CRIANÇAS VENEZUELANAS EM MANAUS</t>
        </is>
      </c>
      <c r="I845" t="inlineStr">
        <is>
          <t>A INICIATIVA OFERECE AULAS VIRTUAIS A CRIANÇAS E ADOLESCENTES MIGRANTES E REFUGIADOS, EM MANAUS, COM OBJETIVO DE APROXIMÁ-LOS DA LÍNGUA PORTUGUESA E DA CULTURA BRASILEIRA E VENEZUELANA, COMO AINDA INFORMÁ-LOS SOBRE A PREVENÇÃO À COVID-19</t>
        </is>
      </c>
      <c r="J845">
        <f>HYPERLINK("https://www.acritica.com/unicef-realiza-projeto-de-cidadania-com-criancas-venezuelanas-em-manaus-1.30043", "URL")</f>
        <v/>
      </c>
      <c r="K845">
        <f>HYPERLINK("https://raw.githubusercontent.com/marcosmapl/dataset_imigrantes/main/noticias_filtered/a_critica/venezuelanos/2020/10_nov/html/1.30043_923.html", "HTML")</f>
        <v/>
      </c>
      <c r="L845">
        <f>HYPERLINK("https://raw.githubusercontent.com/marcosmapl/dataset_imigrantes/main/noticias_filtered/a_critica/venezuelanos/2020/10_nov/txt/1.30043_923.txt", "TXT")</f>
        <v/>
      </c>
    </row>
    <row r="846">
      <c r="A846" s="1" t="n">
        <v>844</v>
      </c>
      <c r="B846" t="n">
        <v>2020</v>
      </c>
      <c r="C846" s="2" t="n">
        <v>44139.625</v>
      </c>
      <c r="D846" t="inlineStr">
        <is>
          <t>PORTAL AMAZONIA</t>
        </is>
      </c>
      <c r="E846" t="inlineStr">
        <is>
          <t>VENEZUELANOS</t>
        </is>
      </c>
      <c r="F846" t="inlineStr">
        <is>
          <t>AMAZONAS,NOTÍCIAS,CIDADANIA,CIDADES</t>
        </is>
      </c>
      <c r="G846" t="inlineStr">
        <is>
          <t>REDAÇÃO - JORNALISMO@PORTALAMAZONIA.COM</t>
        </is>
      </c>
      <c r="H846" t="inlineStr">
        <is>
          <t>ONG EM MANAUS ESTÁ COM VAGAS ABERTAS PARA CURSOS DE CAPACITAÇÃO GRATUITOS PARA VENEZUELANOS</t>
        </is>
      </c>
      <c r="I846" t="inlineStr">
        <is>
          <t>INICIATIVA É VOLTADA PARA IMIGRANTES VENEZUELANOS RESIDENTES EM MANAUS. ENTRE OS CURSOS OFERECIDOS, ESTÃO DESIGN DE SOBRANCELHA, MAQUIAGEM PARA FESTAS, UNHAS ARTÍSTICAS E PORTUGUÊS PARA ESTRANGEIROS.</t>
        </is>
      </c>
      <c r="J846">
        <f>HYPERLINK("https://portalamazonia.com/noticias/cidadania/ong-em-manuas-esta-com-vagas-abertas-para-cursos-de-capacitacao-gratuitos-para-venezuelanos", "URL")</f>
        <v/>
      </c>
      <c r="K846">
        <f>HYPERLINK("https://raw.githubusercontent.com/marcosmapl/dataset_imigrantes/main/noticias_filtered/portal_amazonia/venezuelanos/2020/10_nov/html/29128.62509_1582.html", "HTML")</f>
        <v/>
      </c>
      <c r="L846">
        <f>HYPERLINK("https://raw.githubusercontent.com/marcosmapl/dataset_imigrantes/main/noticias_filtered/portal_amazonia/venezuelanos/2020/10_nov/txt/29128.62509_1582.txt", "TXT")</f>
        <v/>
      </c>
    </row>
    <row r="847">
      <c r="A847" s="1" t="n">
        <v>845</v>
      </c>
      <c r="B847" t="n">
        <v>2020</v>
      </c>
      <c r="C847" s="2" t="n">
        <v>44139.51394887731</v>
      </c>
      <c r="D847" t="inlineStr">
        <is>
          <t>G1</t>
        </is>
      </c>
      <c r="E847" t="inlineStr">
        <is>
          <t>HAITIANOS</t>
        </is>
      </c>
      <c r="F847" t="inlineStr">
        <is>
          <t>SOROCABA E JUNDIAÍ</t>
        </is>
      </c>
      <c r="G847" t="inlineStr">
        <is>
          <t>WILSON GONÇALVES JR., TV TEM</t>
        </is>
      </c>
      <c r="H847" t="inlineStr">
        <is>
          <t>COM 70% DA POPULAÇÃO NA MISÉRIA, MULHERES HAITIANAS TENTAM NOVA VIDA NO BRASIL</t>
        </is>
      </c>
      <c r="I847" t="inlineStr">
        <is>
          <t>EM SOROCABA (SP), HÁ QUASE 200 FAMÍLIAS, QUE, COM MUITO TRABALHO, ESTÃO RESGATANDO A PRÓPRIA DIGNIDADE. WISELANDE MONDESTIN E OUTRAS 10 HAITIANAS TRABALHAM NA COOPERATIVA DE RECICLAGEM DE SOROCABA (CORESO).</t>
        </is>
      </c>
      <c r="J847">
        <f>HYPERLINK("https://g1.globo.com/sp/sorocaba-jundiai/noticia/2020/11/04/com-70percent-da-populacao-na-miseria-mulheres-haitianas-tentam-nova-vida-no-brasil.ghtml", "URL")</f>
        <v/>
      </c>
      <c r="K847">
        <f>HYPERLINK("https://raw.githubusercontent.com/marcosmapl/dataset_imigrantes/main/noticias_filtered/g1/haitianos/2020/10_nov/html/g1_e26dfdf6-2312-11ed-b24f-6dbe51e79fca_2981.html", "HTML")</f>
        <v/>
      </c>
      <c r="L847">
        <f>HYPERLINK("https://raw.githubusercontent.com/marcosmapl/dataset_imigrantes/main/noticias_filtered/g1/haitianos/2020/10_nov/txt/g1_e26dfdf6-2312-11ed-b24f-6dbe51e79fca_2981.txt", "TXT")</f>
        <v/>
      </c>
    </row>
    <row r="848">
      <c r="A848" s="1" t="n">
        <v>846</v>
      </c>
      <c r="B848" t="n">
        <v>2020</v>
      </c>
      <c r="C848" s="2" t="n">
        <v>44138.60839984954</v>
      </c>
      <c r="D848" t="inlineStr">
        <is>
          <t>G1</t>
        </is>
      </c>
      <c r="E848" t="inlineStr">
        <is>
          <t>VENEZUELANOS</t>
        </is>
      </c>
      <c r="F848" t="inlineStr">
        <is>
          <t>RORAIMA</t>
        </is>
      </c>
      <c r="G848" t="inlineStr">
        <is>
          <t>G1 RR — BOA VISTA</t>
        </is>
      </c>
      <c r="H848" t="inlineStr">
        <is>
          <t>OPERAÇÃO ACOLHIDA TRANSFERE 300 IMIGRANTES VENEZUELANOS PARA NOVO ABRIGO EM BOA VISTA</t>
        </is>
      </c>
      <c r="I848" t="inlineStr">
        <is>
          <t>ESPAÇO TEM CAPACIDADE PARA 850 PESSOAS, SEGUNDO A ACOLHIDA. O NOVO ABRIGO FICA NO MESMO TERRENO DO HOSPITAL DE CAMPANHA, INAUGURADO EM JUNHO DESTE ANO PARA RECEBER CASOS DA COVID-19 EM RORAIMA.</t>
        </is>
      </c>
      <c r="J848">
        <f>HYPERLINK("https://g1.globo.com/rr/roraima/noticia/2020/11/03/operacao-acolhida-transfere-300-imigrantes-venezuelanos-para-novo-abrigo-em-boa-vista.ghtml", "URL")</f>
        <v/>
      </c>
      <c r="K848">
        <f>HYPERLINK("https://raw.githubusercontent.com/marcosmapl/dataset_imigrantes/main/noticias_filtered/g1/venezuelanos/2020/10_nov/html/g1_addeb4c2-2308-11ed-b24f-6dbe51e79fca_2397.html", "HTML")</f>
        <v/>
      </c>
      <c r="L848">
        <f>HYPERLINK("https://raw.githubusercontent.com/marcosmapl/dataset_imigrantes/main/noticias_filtered/g1/venezuelanos/2020/10_nov/txt/g1_addeb4c2-2308-11ed-b24f-6dbe51e79fca_2397.txt", "TXT")</f>
        <v/>
      </c>
    </row>
    <row r="849">
      <c r="A849" s="1" t="n">
        <v>847</v>
      </c>
      <c r="B849" t="n">
        <v>2020</v>
      </c>
      <c r="C849" s="2" t="n">
        <v>44138.37083333333</v>
      </c>
      <c r="D849" t="inlineStr">
        <is>
          <t>PORTAL AMAZONIA</t>
        </is>
      </c>
      <c r="E849" t="inlineStr">
        <is>
          <t>VENEZUELANOS</t>
        </is>
      </c>
      <c r="F849" t="inlineStr">
        <is>
          <t>CULTURA,ARTE,TURISMO,RORAIMA,NOTÍCIAS</t>
        </is>
      </c>
      <c r="G849" t="inlineStr">
        <is>
          <t>PORTAL AMAZÔNIA, COM INFORMAÇÕES DA AGÊNCIA ONU ACNUR</t>
        </is>
      </c>
      <c r="H849" t="inlineStr">
        <is>
          <t>ESPAÇO PARA VENDA DE ARTESANATO DE INDÍGENAS VENEZUELANOS É INAUGURADO EM BOA VISTA</t>
        </is>
      </c>
      <c r="I849" t="inlineStr">
        <is>
          <t>RECURSOS OBTIDOS COM A VENDA SERÃO REVERTIDOS PARA A POPULAÇÃO INDÍGENA ABRIGADA PELA OPERAÇÃO ACOLHIDA EM RORAIMA.</t>
        </is>
      </c>
      <c r="J849">
        <f>HYPERLINK("https://portalamazonia.com/cultura/arte/espaco-para-venda-de-artesanato-de-indigenas-venezuelanos-e-inaugurado-em-boa-vista-1", "URL")</f>
        <v/>
      </c>
      <c r="K849">
        <f>HYPERLINK("https://raw.githubusercontent.com/marcosmapl/dataset_imigrantes/main/noticias_filtered/portal_amazonia/venezuelanos/2020/10_nov/html/29096.62440_1467.html", "HTML")</f>
        <v/>
      </c>
      <c r="L849">
        <f>HYPERLINK("https://raw.githubusercontent.com/marcosmapl/dataset_imigrantes/main/noticias_filtered/portal_amazonia/venezuelanos/2020/10_nov/txt/29096.62440_1467.txt", "TXT")</f>
        <v/>
      </c>
    </row>
    <row r="850">
      <c r="A850" s="1" t="n">
        <v>848</v>
      </c>
      <c r="B850" t="n">
        <v>2020</v>
      </c>
      <c r="C850" s="2" t="n">
        <v>44136.75076474537</v>
      </c>
      <c r="D850" t="inlineStr">
        <is>
          <t>G1</t>
        </is>
      </c>
      <c r="E850" t="inlineStr">
        <is>
          <t>VENEZUELANOS</t>
        </is>
      </c>
      <c r="F850" t="inlineStr">
        <is>
          <t>MUNDO</t>
        </is>
      </c>
      <c r="G850" t="inlineStr">
        <is>
          <t>REUTERS</t>
        </is>
      </c>
      <c r="H850" t="inlineStr">
        <is>
          <t>APESAR DE FRONTEIRAS FECHADAS E PANDEMIA, VENEZUELANOS TENTAM RETORNAR À COLÔMBIA</t>
        </is>
      </c>
      <c r="I850" t="inlineStr">
        <is>
          <t>AUTORIDADES COLOMBIANAS ESTIMAM QUE 100 MIL IMIGRANTES RETORNARAM À VENEZUELA NO INÍCIO DA PANDEMIA. AGORA, CENTENAS DELES CRUZAM ILEGALMENTE A FRONTEIRA DE VOLTA À COLÔMBIA.</t>
        </is>
      </c>
      <c r="J850">
        <f>HYPERLINK("https://g1.globo.com/mundo/noticia/2020/11/01/apesar-de-fronteiras-fechadas-e-pandemia-venezuelanos-tentam-retornar-a-colombia.ghtml", "URL")</f>
        <v/>
      </c>
      <c r="K850">
        <f>HYPERLINK("https://raw.githubusercontent.com/marcosmapl/dataset_imigrantes/main/noticias_filtered/g1/venezuelanos/2020/10_nov/html/g1_81ea3d4a-232c-11ed-b24f-6dbe51e79fca_4309.html", "HTML")</f>
        <v/>
      </c>
      <c r="L850">
        <f>HYPERLINK("https://raw.githubusercontent.com/marcosmapl/dataset_imigrantes/main/noticias_filtered/g1/venezuelanos/2020/10_nov/txt/g1_81ea3d4a-232c-11ed-b24f-6dbe51e79fca_4309.txt", "TXT")</f>
        <v/>
      </c>
    </row>
    <row r="851">
      <c r="A851" s="1" t="n">
        <v>849</v>
      </c>
      <c r="B851" t="n">
        <v>2020</v>
      </c>
      <c r="C851" s="2" t="n">
        <v>44136.58724537037</v>
      </c>
      <c r="D851" t="inlineStr">
        <is>
          <t>A CRITICA</t>
        </is>
      </c>
      <c r="E851" t="inlineStr">
        <is>
          <t>VENEZUELANOS</t>
        </is>
      </c>
      <c r="F851" t="inlineStr">
        <is>
          <t>POLICIA</t>
        </is>
      </c>
      <c r="G851" t="inlineStr">
        <is>
          <t>FILIPE TÁVORA</t>
        </is>
      </c>
      <c r="H851" t="inlineStr">
        <is>
          <t>VENEZUELANA É MORTA A FACADAS EM MANAUS; SUSPEITO É O COMPANHEIRO</t>
        </is>
      </c>
      <c r="I851" t="inlineStr">
        <is>
          <t>FRANYERLIS PASTOR ESCOBAR, 25, FOI MORTA COM DUAS FACADAS NA MANHÃ DE HOJE (1º). O CRIME ACONTECEU NO BAIRRO ALVORADA. O COMPANHEIRO DA VÍTIMA, ALFONZO MENDOZA, 39, FOI DETIDO COMO PRINCIPAL SUSPEITO</t>
        </is>
      </c>
      <c r="J851">
        <f>HYPERLINK("https://www.acritica.com/policia/venezuelana-e-morta-a-facadas-em-manaus-suspeito-e-o-companheiro-1.30313", "URL")</f>
        <v/>
      </c>
      <c r="K851">
        <f>HYPERLINK("https://raw.githubusercontent.com/marcosmapl/dataset_imigrantes/main/noticias_filtered/a_critica/venezuelanos/2020/10_nov/html/1.30313_739.html", "HTML")</f>
        <v/>
      </c>
      <c r="L851">
        <f>HYPERLINK("https://raw.githubusercontent.com/marcosmapl/dataset_imigrantes/main/noticias_filtered/a_critica/venezuelanos/2020/10_nov/txt/1.30313_739.txt", "TXT")</f>
        <v/>
      </c>
    </row>
    <row r="852">
      <c r="A852" s="1" t="n">
        <v>850</v>
      </c>
      <c r="B852" t="n">
        <v>2020</v>
      </c>
      <c r="C852" s="2" t="n">
        <v>44134.5625</v>
      </c>
      <c r="D852" t="inlineStr">
        <is>
          <t>PORTAL AMAZONIA</t>
        </is>
      </c>
      <c r="E852" t="inlineStr">
        <is>
          <t>VENEZUELANOS</t>
        </is>
      </c>
      <c r="F852" t="inlineStr">
        <is>
          <t>CULTURA,ARTE,RORAIMA,NOTÍCIAS,CIDADES</t>
        </is>
      </c>
      <c r="G852" t="inlineStr">
        <is>
          <t>PORTAL AMAZÔNIA, COM INFORMAÇÕES DA AGÊNCIA ONU PARA REFUGIADOS</t>
        </is>
      </c>
      <c r="H852" t="inlineStr">
        <is>
          <t>ESPAÇO PARA VENDA DE ARTESANATO DE INDÍGENAS VENEZUELANOS É INAUGURADO EM BOA VISTA</t>
        </is>
      </c>
      <c r="I852" t="inlineStr">
        <is>
          <t>RECURSOS OBTIDOS COM A VENDA SERÃO REVERTIDOS PARA A POPULAÇÃO INDÍGENA ABRIGADA PELA OPERAÇÃO ACOLHIDA EM RORAIMA</t>
        </is>
      </c>
      <c r="J852">
        <f>HYPERLINK("https://portalamazonia.com/estados/roraima/espaco-para-venda-de-artesanato-de-indigenas-venezuelanos-e-inaugurado-em-boa-vista", "URL")</f>
        <v/>
      </c>
      <c r="K852">
        <f>HYPERLINK("https://raw.githubusercontent.com/marcosmapl/dataset_imigrantes/main/noticias_filtered/portal_amazonia/venezuelanos/2020/09_out/html/29050.62274_1388.html", "HTML")</f>
        <v/>
      </c>
      <c r="L852">
        <f>HYPERLINK("https://raw.githubusercontent.com/marcosmapl/dataset_imigrantes/main/noticias_filtered/portal_amazonia/venezuelanos/2020/09_out/txt/29050.62274_1388.txt", "TXT")</f>
        <v/>
      </c>
    </row>
    <row r="853">
      <c r="A853" s="1" t="n">
        <v>851</v>
      </c>
      <c r="B853" t="n">
        <v>2020</v>
      </c>
      <c r="C853" s="2" t="n">
        <v>44132.7453459838</v>
      </c>
      <c r="D853" t="inlineStr">
        <is>
          <t>G1</t>
        </is>
      </c>
      <c r="E853" t="inlineStr">
        <is>
          <t>VENEZUELANOS</t>
        </is>
      </c>
      <c r="F853" t="inlineStr">
        <is>
          <t>RIO GRANDE DO NORTE</t>
        </is>
      </c>
      <c r="G853" t="inlineStr">
        <is>
          <t>ANNA ALYNE CUNHA, INTER TV CABUGI</t>
        </is>
      </c>
      <c r="H853" t="inlineStr">
        <is>
          <t>OITENTA VENEZUELANOS REFUGIADOS VIVEM EM ABRIGO SEM CHUVEIRO E COM APENAS UM VASO SANITÁRIO EM NATAL</t>
        </is>
      </c>
      <c r="I853" t="inlineStr">
        <is>
          <t>GOVERNO DO RN ANUNCIOU QUE VAI PAGAR ALUGUEL SOCIAL PELOS PRÓXIMOS CINCO MESES PARA REFUGIADOS. 'NÓS NÃO SOMOS ANIMAIS, SOMOS SERES HUMANOS', DIZ UM MORADOR.</t>
        </is>
      </c>
      <c r="J853">
        <f>HYPERLINK("https://g1.globo.com/rn/rio-grande-do-norte/noticia/2020/10/28/oitenta-venezuelanos-refugiados-vivem-em-abrigo-sem-chuveiro-e-com-apenas-um-vaso-sanitario-em-natal.ghtml", "URL")</f>
        <v/>
      </c>
      <c r="K853">
        <f>HYPERLINK("https://raw.githubusercontent.com/marcosmapl/dataset_imigrantes/main/noticias_filtered/g1/venezuelanos/2020/09_out/html/g1_e4abf0ba-230c-11ed-b24f-6dbe51e79fca_2655.html", "HTML")</f>
        <v/>
      </c>
      <c r="L853">
        <f>HYPERLINK("https://raw.githubusercontent.com/marcosmapl/dataset_imigrantes/main/noticias_filtered/g1/venezuelanos/2020/09_out/txt/g1_e4abf0ba-230c-11ed-b24f-6dbe51e79fca_2655.txt", "TXT")</f>
        <v/>
      </c>
    </row>
    <row r="854">
      <c r="A854" s="1" t="n">
        <v>852</v>
      </c>
      <c r="B854" t="n">
        <v>2020</v>
      </c>
      <c r="C854" s="2" t="n">
        <v>44129.91288194444</v>
      </c>
      <c r="D854" t="inlineStr">
        <is>
          <t>A CRITICA</t>
        </is>
      </c>
      <c r="E854" t="inlineStr">
        <is>
          <t>VENEZUELANOS</t>
        </is>
      </c>
      <c r="F854" t="inlineStr">
        <is>
          <t>ESPORTES</t>
        </is>
      </c>
      <c r="G854" t="inlineStr">
        <is>
          <t>PORTAL A CRÍTICA</t>
        </is>
      </c>
      <c r="H854" t="inlineStr">
        <is>
          <t>FULMINANTE,  3B GOLEIA SÃO VALÉRIO-TO POR 10 A 0 E RETOMA PONTA NA SÉRIE A2</t>
        </is>
      </c>
      <c r="I854" t="inlineStr">
        <is>
          <t>NA PARTIDA QUE MARCOU A RETOMADA DO BRASILEIRO DA SÉRIE A2 PARA O TIME AMAZONENSE, TEVE HAT TRICK DE PAULINHA E SHOW DE ASSISTÊNCIAS DA ESTREANTE MAYARA VAZ</t>
        </is>
      </c>
      <c r="J854">
        <f>HYPERLINK("https://www.acritica.com/esportes/fulminante-3b-goleia-s-o-valerio-to-por-10-a-0-e-retoma-ponta-na-serie-a2-1.30764", "URL")</f>
        <v/>
      </c>
      <c r="K854">
        <f>HYPERLINK("https://raw.githubusercontent.com/marcosmapl/dataset_imigrantes/main/noticias_filtered/a_critica/venezuelanos/2020/09_out/html/1.30764_1036.html", "HTML")</f>
        <v/>
      </c>
      <c r="L854">
        <f>HYPERLINK("https://raw.githubusercontent.com/marcosmapl/dataset_imigrantes/main/noticias_filtered/a_critica/venezuelanos/2020/09_out/txt/1.30764_1036.txt", "TXT")</f>
        <v/>
      </c>
    </row>
    <row r="855">
      <c r="A855" s="1" t="n">
        <v>853</v>
      </c>
      <c r="B855" t="n">
        <v>2020</v>
      </c>
      <c r="C855" s="2" t="n">
        <v>44129.73718105324</v>
      </c>
      <c r="D855" t="inlineStr">
        <is>
          <t>G1</t>
        </is>
      </c>
      <c r="E855" t="inlineStr">
        <is>
          <t>VENEZUELANOS</t>
        </is>
      </c>
      <c r="F855" t="inlineStr">
        <is>
          <t>MUNDO</t>
        </is>
      </c>
      <c r="G855" t="inlineStr">
        <is>
          <t>G1</t>
        </is>
      </c>
      <c r="H855" t="inlineStr">
        <is>
          <t>LÍDER DA OPOSIÇÃO VENEZUELANA, LEOPOLDO LÓPEZ CHEGA À ESPANHA APÓS FUGA</t>
        </is>
      </c>
      <c r="I855" t="inlineStr">
        <is>
          <t>A INFORMAÇÃO FOI CONFIRMADA PELO MINISTÉRIO DAS RELAÇÕES EXTERIORES ESPANHOL, EM COMUNICADO. O POLÍTICO FICOU REFUGIADO UM ANO E MEIO NA RESIDÊNCIA DO EMBAIXADOR DA VENEZUELA.</t>
        </is>
      </c>
      <c r="J855">
        <f>HYPERLINK("https://g1.globo.com/mundo/noticia/2020/10/25/lider-da-oposicao-venezuelana-leopoldo-lopez-chega-a-espanha-apos-fuga.ghtml", "URL")</f>
        <v/>
      </c>
      <c r="K855">
        <f>HYPERLINK("https://raw.githubusercontent.com/marcosmapl/dataset_imigrantes/main/noticias_filtered/g1/venezuelanos/2020/09_out/html/g1_b9d0e8c2-2317-11ed-b24f-6dbe51e79fca_3226.html", "HTML")</f>
        <v/>
      </c>
      <c r="L855">
        <f>HYPERLINK("https://raw.githubusercontent.com/marcosmapl/dataset_imigrantes/main/noticias_filtered/g1/venezuelanos/2020/09_out/txt/g1_b9d0e8c2-2317-11ed-b24f-6dbe51e79fca_3226.txt", "TXT")</f>
        <v/>
      </c>
    </row>
    <row r="856">
      <c r="A856" s="1" t="n">
        <v>854</v>
      </c>
      <c r="B856" t="n">
        <v>2020</v>
      </c>
      <c r="C856" s="2" t="n">
        <v>44128.76109508102</v>
      </c>
      <c r="D856" t="inlineStr">
        <is>
          <t>G1</t>
        </is>
      </c>
      <c r="E856" t="inlineStr">
        <is>
          <t>VENEZUELANOS</t>
        </is>
      </c>
      <c r="F856" t="inlineStr">
        <is>
          <t>MUNDO</t>
        </is>
      </c>
      <c r="G856" t="inlineStr">
        <is>
          <t>RFI</t>
        </is>
      </c>
      <c r="H856" t="inlineStr">
        <is>
          <t>MENTOR DE GUAIDÓ, OPOSITOR VENEZUELANO LEOPOLDO LÓPEZ FOGE EM DIREÇÃO À ESPANHA</t>
        </is>
      </c>
      <c r="I856" t="inlineStr">
        <is>
          <t>FONTES INDICAM QUE LEOPOLDO LÓPEZ SE DIRIGE PARA A COLÔMBIA E DE LÁ IRIA PARA A EUROPA.</t>
        </is>
      </c>
      <c r="J856">
        <f>HYPERLINK("https://g1.globo.com/mundo/noticia/2020/10/24/mentor-de-guaido-opositor-venezuelano-leopoldo-lopez-foge-em-direcao-a-espanha.ghtml", "URL")</f>
        <v/>
      </c>
      <c r="K856">
        <f>HYPERLINK("https://raw.githubusercontent.com/marcosmapl/dataset_imigrantes/main/noticias_filtered/g1/venezuelanos/2020/09_out/html/g1_2492016a-2312-11ed-b24f-6dbe51e79fca_2951.html", "HTML")</f>
        <v/>
      </c>
      <c r="L856">
        <f>HYPERLINK("https://raw.githubusercontent.com/marcosmapl/dataset_imigrantes/main/noticias_filtered/g1/venezuelanos/2020/09_out/txt/g1_2492016a-2312-11ed-b24f-6dbe51e79fca_2951.txt", "TXT")</f>
        <v/>
      </c>
    </row>
    <row r="857">
      <c r="A857" s="1" t="n">
        <v>855</v>
      </c>
      <c r="B857" t="n">
        <v>2020</v>
      </c>
      <c r="C857" s="2" t="n">
        <v>44126.38819444444</v>
      </c>
      <c r="D857" t="inlineStr">
        <is>
          <t>PORTAL AMAZONIA</t>
        </is>
      </c>
      <c r="E857" t="inlineStr">
        <is>
          <t>VENEZUELANOS</t>
        </is>
      </c>
      <c r="F857" t="inlineStr">
        <is>
          <t>RORAIMA,NOTÍCIAS,CIDADES</t>
        </is>
      </c>
      <c r="G857" t="inlineStr">
        <is>
          <t>PORTAL AMAZÔNIA, COM INFORMAÇÕES DA RADIOAGÊNCIA NACIONAL</t>
        </is>
      </c>
      <c r="H857" t="inlineStr">
        <is>
          <t>GOVERNO FEDERAL E DE RORAIMA DISCUTEM SITUAÇÃO DE VENEZUELANOS NO PAÍS</t>
        </is>
      </c>
      <c r="I857" t="inlineStr">
        <is>
          <t>RESSARCIMENTO DOS GASTOS NOS ÚLTIMOS ANOS ESTÁ ENTRE OS TEMAS.</t>
        </is>
      </c>
      <c r="J857">
        <f>HYPERLINK("https://portalamazonia.com/noticias/governo-federal-e-de-roraima-discutem-situacao-de-venezuelanos-no-pais", "URL")</f>
        <v/>
      </c>
      <c r="K857">
        <f>HYPERLINK("https://raw.githubusercontent.com/marcosmapl/dataset_imigrantes/main/noticias_filtered/portal_amazonia/venezuelanos/2020/09_out/html/28914.61724_1592.html", "HTML")</f>
        <v/>
      </c>
      <c r="L857">
        <f>HYPERLINK("https://raw.githubusercontent.com/marcosmapl/dataset_imigrantes/main/noticias_filtered/portal_amazonia/venezuelanos/2020/09_out/txt/28914.61724_1592.txt", "TXT")</f>
        <v/>
      </c>
    </row>
    <row r="858">
      <c r="A858" s="1" t="n">
        <v>856</v>
      </c>
      <c r="B858" t="n">
        <v>2020</v>
      </c>
      <c r="C858" s="2" t="n">
        <v>44126.00818287037</v>
      </c>
      <c r="D858" t="inlineStr">
        <is>
          <t>A CRITICA</t>
        </is>
      </c>
      <c r="E858" t="inlineStr">
        <is>
          <t>VENEZUELANOS</t>
        </is>
      </c>
      <c r="F858" t="inlineStr">
        <is>
          <t>POLICIA</t>
        </is>
      </c>
      <c r="G858" t="inlineStr">
        <is>
          <t>JOSEMAR ANTUNES</t>
        </is>
      </c>
      <c r="H858" t="inlineStr">
        <is>
          <t>IDOSO É PRESO POR ESTUPRO APÓS SEQUESTRAR CRIANÇA VENEZUELANA</t>
        </is>
      </c>
      <c r="I858" t="inlineStr">
        <is>
          <t>A MENINA FOI LOCALIZADA COM HEMATOMAS E DORES NAS COSTAS POR UM PRIMO EM VIA PÚBLICA, NO BAIRRO DA GLÓRIA</t>
        </is>
      </c>
      <c r="J858">
        <f>HYPERLINK("https://www.acritica.com/policia/idoso-e-preso-por-estupro-apos-sequestrar-crianca-venezuelana-1.30844", "URL")</f>
        <v/>
      </c>
      <c r="K858">
        <f>HYPERLINK("https://raw.githubusercontent.com/marcosmapl/dataset_imigrantes/main/noticias_filtered/a_critica/venezuelanos/2020/09_out/html/1.30844_326.html", "HTML")</f>
        <v/>
      </c>
      <c r="L858">
        <f>HYPERLINK("https://raw.githubusercontent.com/marcosmapl/dataset_imigrantes/main/noticias_filtered/a_critica/venezuelanos/2020/09_out/txt/1.30844_326.txt", "TXT")</f>
        <v/>
      </c>
    </row>
    <row r="859">
      <c r="A859" s="1" t="n">
        <v>857</v>
      </c>
      <c r="B859" t="n">
        <v>2020</v>
      </c>
      <c r="C859" s="2" t="n">
        <v>44123.84825231481</v>
      </c>
      <c r="D859" t="inlineStr">
        <is>
          <t>A CRITICA</t>
        </is>
      </c>
      <c r="E859" t="inlineStr">
        <is>
          <t>VENEZUELANOS</t>
        </is>
      </c>
      <c r="F859" t="inlineStr">
        <is>
          <t>POLITICA</t>
        </is>
      </c>
      <c r="G859" t="inlineStr">
        <is>
          <t>AGÊNCIA BRASIL</t>
        </is>
      </c>
      <c r="H859" t="inlineStr">
        <is>
          <t>TSE REBATE NOTÍCIAS FALSAS SOBRE URNA DE 2018 QUE VOLTARAM A CIRCULAR</t>
        </is>
      </c>
      <c r="I859" t="inlineStr">
        <is>
          <t>UMA DAS MENSAGENS, QUE CIRCULA EM VÍDEO, DIZ QUE O TSE RECUSOU CONSULTORIA DO INSTITUTO DE TECNOLOGIA DA AERONÁUTICA (ITA) E DO INSTITUTO MILITAR DE ENGENHARIA (IME) PARA O DESENVOLVIMENTO DE UMA URNA ELETRÔNICA CAPAZ DE IMPRIMIR O VOTO</t>
        </is>
      </c>
      <c r="J859">
        <f>HYPERLINK("https://www.acritica.com/politica/tse-rebate-noticias-falsas-sobre-urna-de-2018-que-voltaram-a-circular-1.32030", "URL")</f>
        <v/>
      </c>
      <c r="K859">
        <f>HYPERLINK("https://raw.githubusercontent.com/marcosmapl/dataset_imigrantes/main/noticias_filtered/a_critica/venezuelanos/2020/09_out/html/1.32030_1082.html", "HTML")</f>
        <v/>
      </c>
      <c r="L859">
        <f>HYPERLINK("https://raw.githubusercontent.com/marcosmapl/dataset_imigrantes/main/noticias_filtered/a_critica/venezuelanos/2020/09_out/txt/1.32030_1082.txt", "TXT")</f>
        <v/>
      </c>
    </row>
    <row r="860">
      <c r="A860" s="1" t="n">
        <v>858</v>
      </c>
      <c r="B860" t="n">
        <v>2020</v>
      </c>
      <c r="C860" s="2" t="n">
        <v>44123.77168981481</v>
      </c>
      <c r="D860" t="inlineStr">
        <is>
          <t>A CRITICA</t>
        </is>
      </c>
      <c r="E860" t="inlineStr">
        <is>
          <t>VENEZUELANOS</t>
        </is>
      </c>
      <c r="F860" t="inlineStr">
        <is>
          <t>SAUDE</t>
        </is>
      </c>
      <c r="G860" t="inlineStr">
        <is>
          <t>PORTAL A CRÍTICA</t>
        </is>
      </c>
      <c r="H860" t="inlineStr">
        <is>
          <t>MÉDICOS SEM FRONTEIRAS ENCERRAM AÇÕES DE COMBATE À COVID NO AM</t>
        </is>
      </c>
      <c r="I860" t="inlineStr">
        <is>
          <t>O ENCERRAMENTO, CONFORME EXPLICOU A ORGANIZAÇÃO INTERNACIONAL, ESTÁ RELACIONADO À CURVA EPIDEMIOLÓGICA DA DOENÇA NO ESTADO.</t>
        </is>
      </c>
      <c r="J860">
        <f>HYPERLINK("https://www.acritica.com/saude/medicos-sem-fronteiras-encerram-ac-es-de-combate-a-covid-no-am-1.32033", "URL")</f>
        <v/>
      </c>
      <c r="K860">
        <f>HYPERLINK("https://raw.githubusercontent.com/marcosmapl/dataset_imigrantes/main/noticias_filtered/a_critica/venezuelanos/2020/09_out/html/1.32033_1332.html", "HTML")</f>
        <v/>
      </c>
      <c r="L860">
        <f>HYPERLINK("https://raw.githubusercontent.com/marcosmapl/dataset_imigrantes/main/noticias_filtered/a_critica/venezuelanos/2020/09_out/txt/1.32033_1332.txt", "TXT")</f>
        <v/>
      </c>
    </row>
    <row r="861">
      <c r="A861" s="1" t="n">
        <v>859</v>
      </c>
      <c r="B861" t="n">
        <v>2020</v>
      </c>
      <c r="C861" s="2" t="n">
        <v>44123.72916666666</v>
      </c>
      <c r="D861" t="inlineStr">
        <is>
          <t>PORTAL AMAZONIA</t>
        </is>
      </c>
      <c r="E861" t="inlineStr">
        <is>
          <t>AMBOS</t>
        </is>
      </c>
      <c r="F861" t="inlineStr">
        <is>
          <t>NOTÍCIAS,EDUCAÇÃO,AMAZON SAT</t>
        </is>
      </c>
      <c r="G861" t="inlineStr">
        <is>
          <t>WILLIAM COSTA - WILLIAM.COSTA@PORTALAMAZONIA.COM</t>
        </is>
      </c>
      <c r="H861" t="inlineStr">
        <is>
          <t>PROFESSORA DO AMAZONAS É FINALISTA DO PRÊMIO EDUCADOR NOTA 10; VOTE</t>
        </is>
      </c>
      <c r="I861" t="inlineStr">
        <is>
          <t>LÚCIA CRISTINA É DIRETORA DA ESCOLA MUNICIPAL WALDIR GARCIA E AO MUDAR A METODOLOGIA DE ENSINO E RESSIGNIFICAR O SENTIDO DE EDUCAÇÃO, CHEGOU À NOTA 7,4 NO ÍNDICE DE DESENVOLVIMENTO DA EDUCAÇÃO BÁSICA (IDEB-2019), COMO UMA DAS MELHORES ESCOLAS DE MANAUS.</t>
        </is>
      </c>
      <c r="J861">
        <f>HYPERLINK("https://portalamazonia.com/noticias/educacao/professora-do-amazonas-e-finalista-do-premio-educador-nota-10-vote", "URL")</f>
        <v/>
      </c>
      <c r="K861">
        <f>HYPERLINK("https://raw.githubusercontent.com/marcosmapl/dataset_imigrantes/main/noticias_filtered/portal_amazonia/ambos/2020/09_out/html/28869.61748_1536.html", "HTML")</f>
        <v/>
      </c>
      <c r="L861">
        <f>HYPERLINK("https://raw.githubusercontent.com/marcosmapl/dataset_imigrantes/main/noticias_filtered/portal_amazonia/ambos/2020/09_out/txt/28869.61748_1536.txt", "TXT")</f>
        <v/>
      </c>
    </row>
    <row r="862">
      <c r="A862" s="1" t="n">
        <v>860</v>
      </c>
      <c r="B862" t="n">
        <v>2020</v>
      </c>
      <c r="C862" s="2" t="n">
        <v>44122.64903935185</v>
      </c>
      <c r="D862" t="inlineStr">
        <is>
          <t>A CRITICA</t>
        </is>
      </c>
      <c r="E862" t="inlineStr">
        <is>
          <t>VENEZUELANOS</t>
        </is>
      </c>
      <c r="F862" t="inlineStr">
        <is>
          <t>ESPORTES</t>
        </is>
      </c>
      <c r="G862" t="inlineStr">
        <is>
          <t>AGÊNCIA BRASIL</t>
        </is>
      </c>
      <c r="H862" t="inlineStr">
        <is>
          <t>ENCONTRO DAS NAÇÕES: CORINTHIANS E FLAMENGO SE ENFRENTAM NO ITAQUERÃO</t>
        </is>
      </c>
      <c r="I862" t="inlineStr">
        <is>
          <t>DUELO COM MAIORES TORCIDAS DO PAÍS SERÁ SEM PÚBLICO DEVIDO À PANDEMIA. O JOGO TERÁ TRANSMISSÃO DA REDE GLOBO A PARTIR DAS 15H, HORÁRIO DE MANAUS</t>
        </is>
      </c>
      <c r="J862">
        <f>HYPERLINK("https://www.acritica.com/esportes/encontro-das-nac-es-corinthians-e-flamengo-se-enfrentam-no-itaquer-o-1.30955", "URL")</f>
        <v/>
      </c>
      <c r="K862">
        <f>HYPERLINK("https://raw.githubusercontent.com/marcosmapl/dataset_imigrantes/main/noticias_filtered/a_critica/venezuelanos/2020/09_out/html/1.30955_1259.html", "HTML")</f>
        <v/>
      </c>
      <c r="L862">
        <f>HYPERLINK("https://raw.githubusercontent.com/marcosmapl/dataset_imigrantes/main/noticias_filtered/a_critica/venezuelanos/2020/09_out/txt/1.30955_1259.txt", "TXT")</f>
        <v/>
      </c>
    </row>
    <row r="863">
      <c r="A863" s="1" t="n">
        <v>861</v>
      </c>
      <c r="B863" t="n">
        <v>2020</v>
      </c>
      <c r="C863" s="2" t="n">
        <v>44120.52993530092</v>
      </c>
      <c r="D863" t="inlineStr">
        <is>
          <t>G1</t>
        </is>
      </c>
      <c r="E863" t="inlineStr">
        <is>
          <t>VENEZUELANOS</t>
        </is>
      </c>
      <c r="F863" t="inlineStr">
        <is>
          <t>CARUARU E REGIÃO</t>
        </is>
      </c>
      <c r="G863" t="inlineStr">
        <is>
          <t>DIOGO FRANCO, TV ASA BRANCA</t>
        </is>
      </c>
      <c r="H863" t="inlineStr">
        <is>
          <t>VENEZUELANOS PEDEM COMIDA E REMÉDIOS HÁ UMA SEMANA NAS RUAS DE GARANHUNS</t>
        </is>
      </c>
      <c r="I863" t="inlineStr">
        <is>
          <t>IMIGRANTES VIERAM DO RECIFE E ESTÃO ALOJADOS EM UM HOTEL, UMA POUSADA E UMA CASA. SECRETARIA DE ASSISTÊNCIA SOCIAL E DIREITOS HUMANOS DO MUNICÍPIO DISSE QUE FEZ UM MAPEAMENTO DO GRUPO.</t>
        </is>
      </c>
      <c r="J863">
        <f>HYPERLINK("https://g1.globo.com/pe/caruaru-regiao/noticia/2020/10/16/venezuelanos-pedem-comida-e-remedios-ha-uma-semana-nas-ruas-de-garanhuns.ghtml", "URL")</f>
        <v/>
      </c>
      <c r="K863">
        <f>HYPERLINK("https://raw.githubusercontent.com/marcosmapl/dataset_imigrantes/main/noticias_filtered/g1/venezuelanos/2020/09_out/html/g1_c2453d24-231b-11ed-b24f-6dbe51e79fca_3405.html", "HTML")</f>
        <v/>
      </c>
      <c r="L863">
        <f>HYPERLINK("https://raw.githubusercontent.com/marcosmapl/dataset_imigrantes/main/noticias_filtered/g1/venezuelanos/2020/09_out/txt/g1_c2453d24-231b-11ed-b24f-6dbe51e79fca_3405.txt", "TXT")</f>
        <v/>
      </c>
    </row>
    <row r="864">
      <c r="A864" s="1" t="n">
        <v>862</v>
      </c>
      <c r="B864" t="n">
        <v>2020</v>
      </c>
      <c r="C864" s="2" t="n">
        <v>44119.69027777778</v>
      </c>
      <c r="D864" t="inlineStr">
        <is>
          <t>PORTAL AMAZONIA</t>
        </is>
      </c>
      <c r="E864" t="inlineStr">
        <is>
          <t>VENEZUELANOS</t>
        </is>
      </c>
      <c r="F864" t="inlineStr">
        <is>
          <t>EDUCAÇÃO</t>
        </is>
      </c>
      <c r="G864" t="inlineStr">
        <is>
          <t>REDAÇÃO - JORNALSIMO@PORTALAMAZONIA.COM</t>
        </is>
      </c>
      <c r="H864" t="inlineStr">
        <is>
          <t>CURSOS GRATUITOS PARA IMIGRANTES VENEZUELANOS SÃO OFERECIDOS PELO SENAC AMAZONAS</t>
        </is>
      </c>
      <c r="I864" t="inlineStr">
        <is>
          <t>OS CURSOS INICIAM A PARTIR DA PRÓXIMA SEGUNDA-FEIRA, DIA 19 DE OUTUBRO, COM INSCRIÇÕES GRATUITAS QUE PODEM SER FEITAS POR MEIO DO SITE DO SENAC</t>
        </is>
      </c>
      <c r="J864">
        <f>HYPERLINK("https://portalamazonia.com/noticias/educacao/hermanitos-e-senac-amazonas-oferecem-cursos-gratuitos-para-imigrantes-venezuelanos", "URL")</f>
        <v/>
      </c>
      <c r="K864">
        <f>HYPERLINK("https://raw.githubusercontent.com/marcosmapl/dataset_imigrantes/main/noticias_filtered/portal_amazonia/venezuelanos/2020/09_out/html/28824.61484_1423.html", "HTML")</f>
        <v/>
      </c>
      <c r="L864">
        <f>HYPERLINK("https://raw.githubusercontent.com/marcosmapl/dataset_imigrantes/main/noticias_filtered/portal_amazonia/venezuelanos/2020/09_out/txt/28824.61484_1423.txt", "TXT")</f>
        <v/>
      </c>
    </row>
    <row r="865">
      <c r="A865" s="1" t="n">
        <v>863</v>
      </c>
      <c r="B865" t="n">
        <v>2020</v>
      </c>
      <c r="C865" s="2" t="n">
        <v>44118.92743440972</v>
      </c>
      <c r="D865" t="inlineStr">
        <is>
          <t>G1</t>
        </is>
      </c>
      <c r="E865" t="inlineStr">
        <is>
          <t>VENEZUELANOS</t>
        </is>
      </c>
      <c r="F865" t="inlineStr">
        <is>
          <t>RORAIMA</t>
        </is>
      </c>
      <c r="G865" t="inlineStr">
        <is>
          <t>JULIANA DAMA, G1 RR — BOA VISTA</t>
        </is>
      </c>
      <c r="H865" t="inlineStr">
        <is>
          <t>STF DETERMINA QUE UNIÃO REEMBOLSE A RORAIMA METADE DO QUE FOI GASTO COM VENEZUELANOS</t>
        </is>
      </c>
      <c r="I865" t="inlineStr">
        <is>
          <t>DECISÃO FOI TOMADA POR SETE DOS 11 MINISTROS DO SUPREMO TRIBUNAL FEDERAL (STF). VALOR DO REEMBOLSO AINDA DEVE SER ACORDADO. AÇÃO FOI MOVIDA EM ABRIL DE 2018</t>
        </is>
      </c>
      <c r="J865">
        <f>HYPERLINK("https://g1.globo.com/rr/roraima/noticia/2020/10/14/stf-determina-que-uniao-reembolse-a-roraima-metade-do-que-foi-gasto-com-venezuelanos.ghtml", "URL")</f>
        <v/>
      </c>
      <c r="K865">
        <f>HYPERLINK("https://raw.githubusercontent.com/marcosmapl/dataset_imigrantes/main/noticias_filtered/g1/venezuelanos/2020/09_out/html/g1_5fecc79e-232c-11ed-b24f-6dbe51e79fca_4301.html", "HTML")</f>
        <v/>
      </c>
      <c r="L865">
        <f>HYPERLINK("https://raw.githubusercontent.com/marcosmapl/dataset_imigrantes/main/noticias_filtered/g1/venezuelanos/2020/09_out/txt/g1_5fecc79e-232c-11ed-b24f-6dbe51e79fca_4301.txt", "TXT")</f>
        <v/>
      </c>
    </row>
    <row r="866">
      <c r="A866" s="1" t="n">
        <v>864</v>
      </c>
      <c r="B866" t="n">
        <v>2020</v>
      </c>
      <c r="C866" s="2" t="n">
        <v>44117.54375</v>
      </c>
      <c r="D866" t="inlineStr">
        <is>
          <t>A CRITICA</t>
        </is>
      </c>
      <c r="E866" t="inlineStr">
        <is>
          <t>VENEZUELANOS</t>
        </is>
      </c>
      <c r="F866" t="inlineStr">
        <is>
          <t>OPINIAO</t>
        </is>
      </c>
      <c r="G866" t="inlineStr">
        <is>
          <t>DULCE RODRIGUEZ</t>
        </is>
      </c>
      <c r="H866" t="inlineStr">
        <is>
          <t>MILIONÁRIOS SEM ALIMENTAÇÃO ADEQUADA</t>
        </is>
      </c>
      <c r="I866" t="inlineStr">
        <is>
          <t>JAMAIS ACHEI QUE PRECISARIA SER MILIONÁRIA PARA COMPRAR UM QUILO DE CARNE O QUEIJO</t>
        </is>
      </c>
      <c r="J866">
        <f>HYPERLINK("https://www.acritica.com/opiniao/milionarios-sem-alimentac-o-adequada-1.216185", "URL")</f>
        <v/>
      </c>
      <c r="K866">
        <f>HYPERLINK("https://raw.githubusercontent.com/marcosmapl/dataset_imigrantes/main/noticias_filtered/a_critica/venezuelanos/2020/09_out/html/1.216185_1260.html", "HTML")</f>
        <v/>
      </c>
      <c r="L866">
        <f>HYPERLINK("https://raw.githubusercontent.com/marcosmapl/dataset_imigrantes/main/noticias_filtered/a_critica/venezuelanos/2020/09_out/txt/1.216185_1260.txt", "TXT")</f>
        <v/>
      </c>
    </row>
    <row r="867">
      <c r="A867" s="1" t="n">
        <v>865</v>
      </c>
      <c r="B867" t="n">
        <v>2020</v>
      </c>
      <c r="C867" s="2" t="n">
        <v>44117.45848466435</v>
      </c>
      <c r="D867" t="inlineStr">
        <is>
          <t>G1</t>
        </is>
      </c>
      <c r="E867" t="inlineStr">
        <is>
          <t>VENEZUELANOS</t>
        </is>
      </c>
      <c r="F867" t="inlineStr">
        <is>
          <t>RORAIMA</t>
        </is>
      </c>
      <c r="G867" t="inlineStr">
        <is>
          <t>G1 RR — BOA VISTA</t>
        </is>
      </c>
      <c r="H867" t="inlineStr">
        <is>
          <t>MPF VISITA ABRIGOS DA OPERAÇÃO ACOLHIDA E DISCUTE REALOCAÇÃO DE IMIGRANTES VENEZUELANOS EM RR</t>
        </is>
      </c>
      <c r="I867" t="inlineStr">
        <is>
          <t>VISITAS LIDERADAS PELO PROCURADOR FEDERAL DOS DIREITOS DO CIDADÃO, CARLOS ALBERTO VILHENA E PELO PROCURADOR DA REPÚBLICA, ALISSON MARUGAL, LOTADO EM BOA VISTA, SE ENCERRAM NA QUINTA-FEIRA (15).</t>
        </is>
      </c>
      <c r="J867">
        <f>HYPERLINK("https://g1.globo.com/rr/roraima/noticia/2020/10/13/mpf-visita-abrigos-da-operacao-acolhida-e-discute-realocacao-de-imigrantes-venezuelanos-em-rr.ghtml", "URL")</f>
        <v/>
      </c>
      <c r="K867">
        <f>HYPERLINK("https://raw.githubusercontent.com/marcosmapl/dataset_imigrantes/main/noticias_filtered/g1/venezuelanos/2020/09_out/html/g1_489a5588-232d-11ed-b24f-6dbe51e79fca_4349.html", "HTML")</f>
        <v/>
      </c>
      <c r="L867">
        <f>HYPERLINK("https://raw.githubusercontent.com/marcosmapl/dataset_imigrantes/main/noticias_filtered/g1/venezuelanos/2020/09_out/txt/g1_489a5588-232d-11ed-b24f-6dbe51e79fca_4349.txt", "TXT")</f>
        <v/>
      </c>
    </row>
    <row r="868">
      <c r="A868" s="1" t="n">
        <v>866</v>
      </c>
      <c r="B868" t="n">
        <v>2020</v>
      </c>
      <c r="C868" s="2" t="n">
        <v>44113.88541666666</v>
      </c>
      <c r="D868" t="inlineStr">
        <is>
          <t>A CRITICA</t>
        </is>
      </c>
      <c r="E868" t="inlineStr">
        <is>
          <t>VENEZUELANOS</t>
        </is>
      </c>
      <c r="F868" t="inlineStr">
        <is>
          <t>POLICIA</t>
        </is>
      </c>
      <c r="G868" t="inlineStr">
        <is>
          <t>JOSEMAR ANTUNES</t>
        </is>
      </c>
      <c r="H868" t="inlineStr">
        <is>
          <t>ABRIGO DE VENEZUELANOS DESABA APÓS FORTE CHUVA EM MANAUS</t>
        </is>
      </c>
      <c r="I868" t="inlineStr">
        <is>
          <t>SEGUNDO A SEJUSC,  ESTRUTURA LOCALIZADA NO BAIRRO FLORES, NA ZONA CENTRO-SUL DA CAPITAL, ABRIGAVA 30 FAMÍLIAS VENEZUELANAS</t>
        </is>
      </c>
      <c r="J868">
        <f>HYPERLINK("https://www.acritica.com/policia/abrigo-de-venezuelanos-desaba-apos-forte-chuva-em-manaus-1.31148", "URL")</f>
        <v/>
      </c>
      <c r="K868">
        <f>HYPERLINK("https://raw.githubusercontent.com/marcosmapl/dataset_imigrantes/main/noticias_filtered/a_critica/venezuelanos/2020/09_out/html/1.31148_154.html", "HTML")</f>
        <v/>
      </c>
      <c r="L868">
        <f>HYPERLINK("https://raw.githubusercontent.com/marcosmapl/dataset_imigrantes/main/noticias_filtered/a_critica/venezuelanos/2020/09_out/txt/1.31148_154.txt", "TXT")</f>
        <v/>
      </c>
    </row>
    <row r="869">
      <c r="A869" s="1" t="n">
        <v>867</v>
      </c>
      <c r="B869" t="n">
        <v>2020</v>
      </c>
      <c r="C869" s="2" t="n">
        <v>44113.81676171297</v>
      </c>
      <c r="D869" t="inlineStr">
        <is>
          <t>G1</t>
        </is>
      </c>
      <c r="E869" t="inlineStr">
        <is>
          <t>VENEZUELANOS</t>
        </is>
      </c>
      <c r="F869" t="inlineStr">
        <is>
          <t>AMAZONAS</t>
        </is>
      </c>
      <c r="G869" t="inlineStr">
        <is>
          <t>MATHEUS CASTRO, G1 AM</t>
        </is>
      </c>
      <c r="H869" t="inlineStr">
        <is>
          <t>FORTE CHUVA DESTRÓI PARTE DE ABRIGO PARA VENEZUELANOS EM MANAUS</t>
        </is>
      </c>
      <c r="I869" t="inlineStr">
        <is>
          <t>CORPO DE BOMBEIROS FOI ACIONADO PARA A OCORRÊNCIA. NINGUÉM FICOU FERIDO.</t>
        </is>
      </c>
      <c r="J869">
        <f>HYPERLINK("https://g1.globo.com/am/amazonas/noticia/2020/10/09/forte-chuva-destroi-parte-de-abrigo-para-venezuelanos-em-manaus.ghtml", "URL")</f>
        <v/>
      </c>
      <c r="K869">
        <f>HYPERLINK("https://raw.githubusercontent.com/marcosmapl/dataset_imigrantes/main/noticias_filtered/g1/venezuelanos/2020/09_out/html/g1_4e16fc1a-232c-11ed-b24f-6dbe51e79fca_4296.html", "HTML")</f>
        <v/>
      </c>
      <c r="L869">
        <f>HYPERLINK("https://raw.githubusercontent.com/marcosmapl/dataset_imigrantes/main/noticias_filtered/g1/venezuelanos/2020/09_out/txt/g1_4e16fc1a-232c-11ed-b24f-6dbe51e79fca_4296.txt", "TXT")</f>
        <v/>
      </c>
    </row>
    <row r="870">
      <c r="A870" s="1" t="n">
        <v>868</v>
      </c>
      <c r="B870" t="n">
        <v>2020</v>
      </c>
      <c r="C870" s="2" t="n">
        <v>44111.61041944444</v>
      </c>
      <c r="D870" t="inlineStr">
        <is>
          <t>G1</t>
        </is>
      </c>
      <c r="E870" t="inlineStr">
        <is>
          <t>VENEZUELANOS</t>
        </is>
      </c>
      <c r="F870" t="inlineStr">
        <is>
          <t>SANTA CATARINA</t>
        </is>
      </c>
      <c r="G870" t="inlineStr">
        <is>
          <t>KAROLLAYNE ROSA, G1 SC</t>
        </is>
      </c>
      <c r="H870" t="inlineStr">
        <is>
          <t>VENEZUELANOS CHEGAM A SC PARA TRABALHAR EM INDÚSTRIA DE ALIMENTOS NO OESTE</t>
        </is>
      </c>
      <c r="I870" t="inlineStr">
        <is>
          <t>QUASE 50 IMIGRANTES DESEMBARCARAM NO AEROPORTO SERAFIM ENOSS BERTASO, EM CHAPECÓ, EM DOIS VOOS NA MANHÃ E NA TARDE DESTA QUARTA.</t>
        </is>
      </c>
      <c r="J870">
        <f>HYPERLINK("https://g1.globo.com/sc/santa-catarina/noticia/2020/10/07/venezuelanos-chegam-a-sc-para-trabalhar-em-industria-de-alimentos-no-oeste-e-encontrar-familiares.ghtml", "URL")</f>
        <v/>
      </c>
      <c r="K870">
        <f>HYPERLINK("https://raw.githubusercontent.com/marcosmapl/dataset_imigrantes/main/noticias_filtered/g1/venezuelanos/2020/09_out/html/g1_acade71e-231f-11ed-b24f-6dbe51e79fca_3637.html", "HTML")</f>
        <v/>
      </c>
      <c r="L870">
        <f>HYPERLINK("https://raw.githubusercontent.com/marcosmapl/dataset_imigrantes/main/noticias_filtered/g1/venezuelanos/2020/09_out/txt/g1_acade71e-231f-11ed-b24f-6dbe51e79fca_3637.txt", "TXT")</f>
        <v/>
      </c>
    </row>
    <row r="871">
      <c r="A871" s="1" t="n">
        <v>869</v>
      </c>
      <c r="B871" t="n">
        <v>2020</v>
      </c>
      <c r="C871" s="2" t="n">
        <v>44110.71744212963</v>
      </c>
      <c r="D871" t="inlineStr">
        <is>
          <t>A CRITICA</t>
        </is>
      </c>
      <c r="E871" t="inlineStr">
        <is>
          <t>VENEZUELANOS</t>
        </is>
      </c>
      <c r="F871" t="inlineStr">
        <is>
          <t>MANAUS</t>
        </is>
      </c>
      <c r="G871" t="inlineStr">
        <is>
          <t>JEFFERSON RAMOS</t>
        </is>
      </c>
      <c r="H871" t="inlineStr">
        <is>
          <t>GENERAL PAZUELLO SERÁ 'CIDADÃO DO AMAZONAS' E VAI RECEBER MEDALHA DE DEPUTADOS</t>
        </is>
      </c>
      <c r="I871" t="inlineStr">
        <is>
          <t>MINISTRO DA SAÚDE ESCOLHIDO POR BOLSONARO PARA O COMBATE À PANDEMIA DO CORONAVÍRUS RECEBERÁ AS DUAS PRINCIPAIS CONDECORAÇÕES DO LEGISLATIVO AMAZONENSE</t>
        </is>
      </c>
      <c r="J871">
        <f>HYPERLINK("https://www.acritica.com/manaus/general-pazuello-sera-cidad-o-do-amazonas-e-vai-receber-medalha-de-deputados-1.31372", "URL")</f>
        <v/>
      </c>
      <c r="K871">
        <f>HYPERLINK("https://raw.githubusercontent.com/marcosmapl/dataset_imigrantes/main/noticias_filtered/a_critica/venezuelanos/2020/09_out/html/1.31372_837.html", "HTML")</f>
        <v/>
      </c>
      <c r="L871">
        <f>HYPERLINK("https://raw.githubusercontent.com/marcosmapl/dataset_imigrantes/main/noticias_filtered/a_critica/venezuelanos/2020/09_out/txt/1.31372_837.txt", "TXT")</f>
        <v/>
      </c>
    </row>
    <row r="872">
      <c r="A872" s="1" t="n">
        <v>870</v>
      </c>
      <c r="B872" t="n">
        <v>2020</v>
      </c>
      <c r="C872" s="2" t="n">
        <v>44108.81976851852</v>
      </c>
      <c r="D872" t="inlineStr">
        <is>
          <t>A CRITICA</t>
        </is>
      </c>
      <c r="E872" t="inlineStr">
        <is>
          <t>VENEZUELANOS</t>
        </is>
      </c>
      <c r="F872" t="inlineStr">
        <is>
          <t>ESPORTES</t>
        </is>
      </c>
      <c r="G872" t="inlineStr">
        <is>
          <t>DANIEL PRESTES</t>
        </is>
      </c>
      <c r="H872" t="inlineStr">
        <is>
          <t>EM JOGO DE SEIS PONTOS, IRANDUBA RECEBE MINAS ICESP-DF PELA SÉRIE A1</t>
        </is>
      </c>
      <c r="I872" t="inlineStr">
        <is>
          <t>COM OS DOIS TIMES SEPARADOS POR UM PONTO, HULK SAIRÁ DA ZONA DE REBAIXAMENTO CASO VENÇA A EQUIPE DE BRASÍLIA EM CONFRONTO NA ARENA DA AMAZÔNIA</t>
        </is>
      </c>
      <c r="J872">
        <f>HYPERLINK("https://www.acritica.com/esportes/em-jogo-de-seis-pontos-iranduba-recebe-minas-icesp-df-pela-serie-a1-1.32465", "URL")</f>
        <v/>
      </c>
      <c r="K872">
        <f>HYPERLINK("https://raw.githubusercontent.com/marcosmapl/dataset_imigrantes/main/noticias_filtered/a_critica/venezuelanos/2020/09_out/html/1.32465_283.html", "HTML")</f>
        <v/>
      </c>
      <c r="L872">
        <f>HYPERLINK("https://raw.githubusercontent.com/marcosmapl/dataset_imigrantes/main/noticias_filtered/a_critica/venezuelanos/2020/09_out/txt/1.32465_283.txt", "TXT")</f>
        <v/>
      </c>
    </row>
    <row r="873">
      <c r="A873" s="1" t="n">
        <v>871</v>
      </c>
      <c r="B873" t="n">
        <v>2020</v>
      </c>
      <c r="C873" s="2" t="n">
        <v>44108.76041666666</v>
      </c>
      <c r="D873" t="inlineStr">
        <is>
          <t>A CRITICA</t>
        </is>
      </c>
      <c r="E873" t="inlineStr">
        <is>
          <t>VENEZUELANOS</t>
        </is>
      </c>
      <c r="F873" t="inlineStr">
        <is>
          <t>ESPORTES</t>
        </is>
      </c>
      <c r="G873" t="inlineStr">
        <is>
          <t>CAMILA LEONEL</t>
        </is>
      </c>
      <c r="H873" t="inlineStr">
        <is>
          <t>GOLEIRA DO IRANDUBA ELOGIA 3B POR ABRIR PORTAS PARA O BRASILEIRO</t>
        </is>
      </c>
      <c r="I873" t="inlineStr">
        <is>
          <t>GOLEIRA DO IRANDUBA FALA AO CRAQUE COMO O 3B ABRIU AS PORTAS PARA QUE ELA PUDESSE BRILHAR NO CAMPEONATO BRASILEIRO</t>
        </is>
      </c>
      <c r="J873">
        <f>HYPERLINK("https://www.acritica.com/esportes/goleira-do-iranduba-elogia-3b-por-abrir-portas-para-o-brasileiro-1.32479", "URL")</f>
        <v/>
      </c>
      <c r="K873">
        <f>HYPERLINK("https://raw.githubusercontent.com/marcosmapl/dataset_imigrantes/main/noticias_filtered/a_critica/venezuelanos/2020/09_out/html/1.32479_414.html", "HTML")</f>
        <v/>
      </c>
      <c r="L873">
        <f>HYPERLINK("https://raw.githubusercontent.com/marcosmapl/dataset_imigrantes/main/noticias_filtered/a_critica/venezuelanos/2020/09_out/txt/1.32479_414.txt", "TXT")</f>
        <v/>
      </c>
    </row>
    <row r="874">
      <c r="A874" s="1" t="n">
        <v>872</v>
      </c>
      <c r="B874" t="n">
        <v>2020</v>
      </c>
      <c r="C874" s="2" t="n">
        <v>44105.58743086806</v>
      </c>
      <c r="D874" t="inlineStr">
        <is>
          <t>G1</t>
        </is>
      </c>
      <c r="E874" t="inlineStr">
        <is>
          <t>VENEZUELANOS</t>
        </is>
      </c>
      <c r="F874" t="inlineStr">
        <is>
          <t>ACRE</t>
        </is>
      </c>
      <c r="G874" t="inlineStr">
        <is>
          <t>ALCINETE GADELHA, G1 AC — RIO BRANCO</t>
        </is>
      </c>
      <c r="H874" t="inlineStr">
        <is>
          <t>APÓS 15 DIAS DE REABERTURA DAS FRONTEIRAS NO AC, GRUPO COM 22 VENEZUELANOS CHEGA EM ABRIGO NA CAPITAL</t>
        </is>
      </c>
      <c r="I874" t="inlineStr">
        <is>
          <t>GRUPO, QUE ESTAVA EM ASSIS BRASIL, CHEGOU NA CAPITAL EM UMA VAN DISPONIBILIZADA PELA SECRETARIA DE ASSISTÊNCIA SOCIAL, DOS DIREITOS HUMANOS E DE POLÍTICAS PARA MULHERES.</t>
        </is>
      </c>
      <c r="J874">
        <f>HYPERLINK("https://g1.globo.com/ac/acre/noticia/2020/10/01/apos-15-dias-de-reabertura-das-fronteiras-no-ac-grupo-com-22-venezuelanos-chega-em-abrigo-na-capital.ghtml", "URL")</f>
        <v/>
      </c>
      <c r="K874">
        <f>HYPERLINK("https://raw.githubusercontent.com/marcosmapl/dataset_imigrantes/main/noticias_filtered/g1/venezuelanos/2020/09_out/html/g1_6dd3957c-2327-11ed-b24f-6dbe51e79fca_4034.html", "HTML")</f>
        <v/>
      </c>
      <c r="L874">
        <f>HYPERLINK("https://raw.githubusercontent.com/marcosmapl/dataset_imigrantes/main/noticias_filtered/g1/venezuelanos/2020/09_out/txt/g1_6dd3957c-2327-11ed-b24f-6dbe51e79fca_4034.txt", "TXT")</f>
        <v/>
      </c>
    </row>
    <row r="875">
      <c r="A875" s="1" t="n">
        <v>873</v>
      </c>
      <c r="B875" t="n">
        <v>2020</v>
      </c>
      <c r="C875" s="2" t="n">
        <v>44105.57876295139</v>
      </c>
      <c r="D875" t="inlineStr">
        <is>
          <t>G1</t>
        </is>
      </c>
      <c r="E875" t="inlineStr">
        <is>
          <t>VENEZUELANOS</t>
        </is>
      </c>
      <c r="F875" t="inlineStr">
        <is>
          <t>MATO GROSSO</t>
        </is>
      </c>
      <c r="G875" t="inlineStr">
        <is>
          <t>G1 MT</t>
        </is>
      </c>
      <c r="H875" t="inlineStr">
        <is>
          <t>REFUGIADOS VENEZUELANOS CHEGAM EM MT COM VAGAS DE TRABALHO GARANTIDAS EM COZINHAS DE FAZENDAS</t>
        </is>
      </c>
      <c r="I875" t="inlineStr">
        <is>
          <t>ELES ESTAVAM ABRIGADOS EM CENTROS DE ACOLHIMENTO, JUNTAMENTE COM SUAS FAMÍLIAS EM BOA VISTA (RR), E FORAM CONTRATADOS PARA TRABALHAR COMO COZINHEIROS E OFICIAIS DE COZINHA EM DUAS UNIDADES DE PRODUÇÃO AGRÍCOLA NA REGIÃO.</t>
        </is>
      </c>
      <c r="J875">
        <f>HYPERLINK("https://g1.globo.com/mt/mato-grosso/noticia/2020/10/01/refugiados-venezuelanos-chegam-em-mt-para-trabalhar-em-cozinhas-de-fazendas-no-interior.ghtml", "URL")</f>
        <v/>
      </c>
      <c r="K875">
        <f>HYPERLINK("https://raw.githubusercontent.com/marcosmapl/dataset_imigrantes/main/noticias_filtered/g1/venezuelanos/2020/09_out/html/g1_9a13261c-2312-11ed-b24f-6dbe51e79fca_2973.html", "HTML")</f>
        <v/>
      </c>
      <c r="L875">
        <f>HYPERLINK("https://raw.githubusercontent.com/marcosmapl/dataset_imigrantes/main/noticias_filtered/g1/venezuelanos/2020/09_out/txt/g1_9a13261c-2312-11ed-b24f-6dbe51e79fca_2973.txt", "TXT")</f>
        <v/>
      </c>
    </row>
    <row r="876">
      <c r="A876" s="1" t="n">
        <v>874</v>
      </c>
      <c r="B876" t="n">
        <v>2020</v>
      </c>
      <c r="C876" s="2" t="n">
        <v>44104.88340277778</v>
      </c>
      <c r="D876" t="inlineStr">
        <is>
          <t>A CRITICA</t>
        </is>
      </c>
      <c r="E876" t="inlineStr">
        <is>
          <t>AMBOS</t>
        </is>
      </c>
      <c r="F876" t="inlineStr"/>
      <c r="G876" t="inlineStr">
        <is>
          <t>PORTAL A CRÍTICA</t>
        </is>
      </c>
      <c r="H876" t="inlineStr">
        <is>
          <t>DIA DO PROFESSOR MARCA ABERTURA DA VOTAÇÃO DO PRÊMIO EDUCADOR NOTA 10</t>
        </is>
      </c>
      <c r="I876" t="inlineStr">
        <is>
          <t>O PÚBLICO PODERÁ ACESSAR O SITE DO PRÊMIO, CONHECER CADA UM DOS DEZ PROJETOS FINALISTAS E ELEGER SEU FAVORITO</t>
        </is>
      </c>
      <c r="J876">
        <f>HYPERLINK("https://www.acritica.com/dia-do-professor-marca-abertura-da-votac-o-do-premio-educador-nota-10-1.32632", "URL")</f>
        <v/>
      </c>
      <c r="K876">
        <f>HYPERLINK("https://raw.githubusercontent.com/marcosmapl/dataset_imigrantes/main/noticias_filtered/a_critica/ambos/2020/08_set/html/1.32632_149.html", "HTML")</f>
        <v/>
      </c>
      <c r="L876">
        <f>HYPERLINK("https://raw.githubusercontent.com/marcosmapl/dataset_imigrantes/main/noticias_filtered/a_critica/ambos/2020/08_set/txt/1.32632_149.txt", "TXT")</f>
        <v/>
      </c>
    </row>
    <row r="877">
      <c r="A877" s="1" t="n">
        <v>875</v>
      </c>
      <c r="B877" t="n">
        <v>2020</v>
      </c>
      <c r="C877" s="2" t="n">
        <v>44104.81597222222</v>
      </c>
      <c r="D877" t="inlineStr">
        <is>
          <t>PORTAL AMAZONIA</t>
        </is>
      </c>
      <c r="E877" t="inlineStr">
        <is>
          <t>VENEZUELANOS</t>
        </is>
      </c>
      <c r="F877" t="inlineStr">
        <is>
          <t>NOTÍCIAS</t>
        </is>
      </c>
      <c r="G877" t="inlineStr">
        <is>
          <t>REDAÇÃO - JORNALISMO@PORTALAMAZONIA.COM</t>
        </is>
      </c>
      <c r="H877" t="inlineStr">
        <is>
          <t>CURSO UNE ECONOMIA SOLIDÁRIA COM EMPREENDEDORISMO PARA CAPACITAR GRUPOS DE COSTUREIRAS EM MANAUS</t>
        </is>
      </c>
      <c r="I877" t="inlineStr">
        <is>
          <t>AÇÃO FAZ PARTE DE PROJETO DESENVOLVIDO PELA FAS EM PARCERIA COM A KLABIN. OBJETIVO É CAPACITAR OITO GRUPOS DE COSTUREIRAS EM SITUAÇÃO DE VULNERABILIDADE SOCIAL.</t>
        </is>
      </c>
      <c r="J877">
        <f>HYPERLINK("https://portalamazonia.com/noticias/curso-une-economia-solidaria-com-empreendedorismo-para-capacitar-grupos-de-costureiras-em-manaus", "URL")</f>
        <v/>
      </c>
      <c r="K877">
        <f>HYPERLINK("https://raw.githubusercontent.com/marcosmapl/dataset_imigrantes/main/noticias_filtered/portal_amazonia/venezuelanos/2020/08_set/html/28587.50077_1485.html", "HTML")</f>
        <v/>
      </c>
      <c r="L877">
        <f>HYPERLINK("https://raw.githubusercontent.com/marcosmapl/dataset_imigrantes/main/noticias_filtered/portal_amazonia/venezuelanos/2020/08_set/txt/28587.50077_1485.txt", "TXT")</f>
        <v/>
      </c>
    </row>
    <row r="878">
      <c r="A878" s="1" t="n">
        <v>876</v>
      </c>
      <c r="B878" t="n">
        <v>2020</v>
      </c>
      <c r="C878" s="2" t="n">
        <v>44101.89930555555</v>
      </c>
      <c r="D878" t="inlineStr">
        <is>
          <t>A CRITICA</t>
        </is>
      </c>
      <c r="E878" t="inlineStr">
        <is>
          <t>VENEZUELANOS</t>
        </is>
      </c>
      <c r="F878" t="inlineStr">
        <is>
          <t>ESPORTES</t>
        </is>
      </c>
      <c r="G878" t="inlineStr">
        <is>
          <t>CAMILA LEONEL</t>
        </is>
      </c>
      <c r="H878" t="inlineStr">
        <is>
          <t>IRANDUBA SAI NA FRENTE, CEDE O EMPATE E SEGUE NA ZONA DE REBAIXAMENTO</t>
        </is>
      </c>
      <c r="I878" t="inlineStr">
        <is>
          <t>NESTA SEGUNDA-FEIRA (28), O TIME AMAZONENSE SEGUE PARA A CAPITAL PAULISTA E JÁ SE PREPARA PARA O PRÓXIMO JOGO, CONTRA O SÃO PAULO</t>
        </is>
      </c>
      <c r="J878">
        <f>HYPERLINK("https://www.acritica.com/esportes/iranduba-sai-na-frente-cede-o-empate-e-segue-na-zona-de-rebaixamento-1.32726", "URL")</f>
        <v/>
      </c>
      <c r="K878">
        <f>HYPERLINK("https://raw.githubusercontent.com/marcosmapl/dataset_imigrantes/main/noticias_filtered/a_critica/venezuelanos/2020/08_set/html/1.32726_1196.html", "HTML")</f>
        <v/>
      </c>
      <c r="L878">
        <f>HYPERLINK("https://raw.githubusercontent.com/marcosmapl/dataset_imigrantes/main/noticias_filtered/a_critica/venezuelanos/2020/08_set/txt/1.32726_1196.txt", "TXT")</f>
        <v/>
      </c>
    </row>
    <row r="879">
      <c r="A879" s="1" t="n">
        <v>877</v>
      </c>
      <c r="B879" t="n">
        <v>2020</v>
      </c>
      <c r="C879" s="2" t="n">
        <v>44097.39583333334</v>
      </c>
      <c r="D879" t="inlineStr">
        <is>
          <t>PORTAL AMAZONIA</t>
        </is>
      </c>
      <c r="E879" t="inlineStr">
        <is>
          <t>VENEZUELANOS</t>
        </is>
      </c>
      <c r="F879" t="inlineStr">
        <is>
          <t>AMAZÔNIA INTERNACIONAL,NOTÍCIAS,CIDADES,ECONOMIA</t>
        </is>
      </c>
      <c r="G879" t="inlineStr">
        <is>
          <t>PORTAL AMAZÔNIA, COM INFORMAÇÕES DA AGÊNCIA BRASIL</t>
        </is>
      </c>
      <c r="H879" t="inlineStr">
        <is>
          <t>REFUGIADOS VENEZUELANOS PODEM CONTRIBUIR PARA DESENVOLVIMENTO DO PAÍS, APONTA ESTUDO</t>
        </is>
      </c>
      <c r="I879" t="inlineStr">
        <is>
          <t>SEGUNDO AS AUTORIDADES BRASILEIRAS, CERCA DE 260 MIL VENEZUELANOS VIVEM NO BRASIL ATUALMENTE. DE ACORDO COM A ACNUR, ATÉ JULHO DE 2020, MAIS DE 130 MIL VENEZUELANOS TINHAM PEDIDO REFÚGIO NO PAÍS.</t>
        </is>
      </c>
      <c r="J879">
        <f>HYPERLINK("https://portalamazonia.com/noticias/cidades/refugiados-venezuelanos-podem-contribuir-para-desenvolvimento-do-pais-aponta-estudo", "URL")</f>
        <v/>
      </c>
      <c r="K879">
        <f>HYPERLINK("https://raw.githubusercontent.com/marcosmapl/dataset_imigrantes/main/noticias_filtered/portal_amazonia/venezuelanos/2020/08_set/html/28442.47369_1523.html", "HTML")</f>
        <v/>
      </c>
      <c r="L879">
        <f>HYPERLINK("https://raw.githubusercontent.com/marcosmapl/dataset_imigrantes/main/noticias_filtered/portal_amazonia/venezuelanos/2020/08_set/txt/28442.47369_1523.txt", "TXT")</f>
        <v/>
      </c>
    </row>
    <row r="880">
      <c r="A880" s="1" t="n">
        <v>878</v>
      </c>
      <c r="B880" t="n">
        <v>2020</v>
      </c>
      <c r="C880" s="2" t="n">
        <v>44095.94456018518</v>
      </c>
      <c r="D880" t="inlineStr">
        <is>
          <t>A CRITICA</t>
        </is>
      </c>
      <c r="E880" t="inlineStr">
        <is>
          <t>VENEZUELANOS</t>
        </is>
      </c>
      <c r="F880" t="inlineStr">
        <is>
          <t>OPINIAO</t>
        </is>
      </c>
      <c r="G880" t="inlineStr">
        <is>
          <t>DULCE RODRIGUEZ</t>
        </is>
      </c>
      <c r="H880" t="inlineStr">
        <is>
          <t>ESTOU DE SACO CHEIO DA DIPLOMACIA!</t>
        </is>
      </c>
      <c r="I880" t="inlineStr">
        <is>
          <t>É PRECISO ROMPER UMA ESPIRAL DE INÉRCIA IRRESPONSÁVEL E SILÊNCIO CÚMPLICE COM A DITADURA NA VENEZUELA</t>
        </is>
      </c>
      <c r="J880">
        <f>HYPERLINK("https://www.acritica.com/opiniao/estou-de-saco-cheio-da-diplomacia-1.216276", "URL")</f>
        <v/>
      </c>
      <c r="K880">
        <f>HYPERLINK("https://raw.githubusercontent.com/marcosmapl/dataset_imigrantes/main/noticias_filtered/a_critica/venezuelanos/2020/08_set/html/1.216276_906.html", "HTML")</f>
        <v/>
      </c>
      <c r="L880">
        <f>HYPERLINK("https://raw.githubusercontent.com/marcosmapl/dataset_imigrantes/main/noticias_filtered/a_critica/venezuelanos/2020/08_set/txt/1.216276_906.txt", "TXT")</f>
        <v/>
      </c>
    </row>
    <row r="881">
      <c r="A881" s="1" t="n">
        <v>879</v>
      </c>
      <c r="B881" t="n">
        <v>2020</v>
      </c>
      <c r="C881" s="2" t="n">
        <v>44093.65555555555</v>
      </c>
      <c r="D881" t="inlineStr">
        <is>
          <t>A CRITICA</t>
        </is>
      </c>
      <c r="E881" t="inlineStr">
        <is>
          <t>VENEZUELANOS</t>
        </is>
      </c>
      <c r="F881" t="inlineStr">
        <is>
          <t>MANAUS</t>
        </is>
      </c>
      <c r="G881" t="inlineStr">
        <is>
          <t>JEFFERSON RAMOS</t>
        </is>
      </c>
      <c r="H881" t="inlineStr">
        <is>
          <t>PRESIDENTE DA ALE-AM PARABENIZA EDUARDO PAUZELLO POR TRABALHO À FRENTE DE MINISTÉRIO</t>
        </is>
      </c>
      <c r="I881" t="inlineStr">
        <is>
          <t>SOB OS MAIS DE QUATRO MESES DE INTERINIDADE DE PAZUELLO NO MINISTÉRIO DA SAÚDE, OS NÚMEROS DA PANDEMIA ACELERARAM</t>
        </is>
      </c>
      <c r="J881">
        <f>HYPERLINK("https://www.acritica.com/manaus/presidente-da-ale-am-parabeniza-eduardo-pauzello-por-trabalho-a-frente-de-ministerio-1.32945", "URL")</f>
        <v/>
      </c>
      <c r="K881">
        <f>HYPERLINK("https://raw.githubusercontent.com/marcosmapl/dataset_imigrantes/main/noticias_filtered/a_critica/venezuelanos/2020/08_set/html/1.32945_789.html", "HTML")</f>
        <v/>
      </c>
      <c r="L881">
        <f>HYPERLINK("https://raw.githubusercontent.com/marcosmapl/dataset_imigrantes/main/noticias_filtered/a_critica/venezuelanos/2020/08_set/txt/1.32945_789.txt", "TXT")</f>
        <v/>
      </c>
    </row>
    <row r="882">
      <c r="A882" s="1" t="n">
        <v>880</v>
      </c>
      <c r="B882" t="n">
        <v>2020</v>
      </c>
      <c r="C882" s="2" t="n">
        <v>44092.8950462963</v>
      </c>
      <c r="D882" t="inlineStr">
        <is>
          <t>A CRITICA</t>
        </is>
      </c>
      <c r="E882" t="inlineStr">
        <is>
          <t>VENEZUELANOS</t>
        </is>
      </c>
      <c r="F882" t="inlineStr"/>
      <c r="G882" t="inlineStr">
        <is>
          <t>REUTERS</t>
        </is>
      </c>
      <c r="H882" t="inlineStr">
        <is>
          <t>PARA MAIA, VISITA DE POMPEO NÃO CONDIZ COM BOA PRÁTICA DIPLOMÁTICA</t>
        </is>
      </c>
      <c r="I882" t="inlineStr">
        <is>
          <t>PARA O PRESIDENTE DA CÂMARA, A PRESENÇA DE POMPEO EM INSTALAÇÕES DE OPERAÇÃO DE ACOLHIMENTO A MIGRANTES VENEZUELANOS EM RORAIMA AFRONTA A HERANÇA DA DIPLOMACIA BRASILEIRA DE “ALTIVEZ” E CONVÍVIO PACÍFICO COM OS PAÍSES VIZINHOS</t>
        </is>
      </c>
      <c r="J882">
        <f>HYPERLINK("https://www.acritica.com/para-maia-visita-de-pompeo-n-o-condiz-com-boa-pratica-diplomatica-1.32979", "URL")</f>
        <v/>
      </c>
      <c r="K882">
        <f>HYPERLINK("https://raw.githubusercontent.com/marcosmapl/dataset_imigrantes/main/noticias_filtered/a_critica/venezuelanos/2020/08_set/html/1.32979_466.html", "HTML")</f>
        <v/>
      </c>
      <c r="L882">
        <f>HYPERLINK("https://raw.githubusercontent.com/marcosmapl/dataset_imigrantes/main/noticias_filtered/a_critica/venezuelanos/2020/08_set/txt/1.32979_466.txt", "TXT")</f>
        <v/>
      </c>
    </row>
    <row r="883">
      <c r="A883" s="1" t="n">
        <v>881</v>
      </c>
      <c r="B883" t="n">
        <v>2020</v>
      </c>
      <c r="C883" s="2" t="n">
        <v>44091.43125</v>
      </c>
      <c r="D883" t="inlineStr">
        <is>
          <t>A CRITICA</t>
        </is>
      </c>
      <c r="E883" t="inlineStr">
        <is>
          <t>VENEZUELANOS</t>
        </is>
      </c>
      <c r="F883" t="inlineStr">
        <is>
          <t>ENTRETENIMENTO</t>
        </is>
      </c>
      <c r="G883" t="inlineStr">
        <is>
          <t>LUANA GOMES</t>
        </is>
      </c>
      <c r="H883" t="inlineStr">
        <is>
          <t>FOTO DE AMAZONENSE INTEGRA ACERVO DO MUSEU DO AMANHÃ</t>
        </is>
      </c>
      <c r="I883" t="inlineStr">
        <is>
          <t>IMAGEM DO FOTÓGRAFO AMAZONENSE MICHAEL DANTAS FAZ PARTE DA EXPOSIÇÃO DE LONGA DURAÇÃO</t>
        </is>
      </c>
      <c r="J883">
        <f>HYPERLINK("https://www.acritica.com/entretenimento/foto-de-amazonense-integra-acervo-do-museu-do-amanh-1.33125", "URL")</f>
        <v/>
      </c>
      <c r="K883">
        <f>HYPERLINK("https://raw.githubusercontent.com/marcosmapl/dataset_imigrantes/main/noticias_filtered/a_critica/venezuelanos/2020/08_set/html/1.33125_583.html", "HTML")</f>
        <v/>
      </c>
      <c r="L883">
        <f>HYPERLINK("https://raw.githubusercontent.com/marcosmapl/dataset_imigrantes/main/noticias_filtered/a_critica/venezuelanos/2020/08_set/txt/1.33125_583.txt", "TXT")</f>
        <v/>
      </c>
    </row>
    <row r="884">
      <c r="A884" s="1" t="n">
        <v>882</v>
      </c>
      <c r="B884" t="n">
        <v>2020</v>
      </c>
      <c r="C884" s="2" t="n">
        <v>44090.75973584491</v>
      </c>
      <c r="D884" t="inlineStr">
        <is>
          <t>G1</t>
        </is>
      </c>
      <c r="E884" t="inlineStr">
        <is>
          <t>VENEZUELANOS</t>
        </is>
      </c>
      <c r="F884" t="inlineStr">
        <is>
          <t>RORAIMA</t>
        </is>
      </c>
      <c r="G884" t="inlineStr">
        <is>
          <t>G1 RR — BOA VISTA</t>
        </is>
      </c>
      <c r="H884" t="inlineStr">
        <is>
          <t>LÍDER DE ORGANIZAÇÃO CRIMINOSA VENEZUELANA É PRESO EM BOA VISTA</t>
        </is>
      </c>
      <c r="I884" t="inlineStr">
        <is>
          <t>JOSÉ JESUS, CONHECIDO COMO 'EL CHUCHU', DE 30 ANOS, ERA CONSIDERADO UM DOS CRIMINOSOS MAIS PROCURADOS DA VENEZUELA E ESTAVA FORAGIDO HÁ CERCA DE TRÊS MESES.</t>
        </is>
      </c>
      <c r="J884">
        <f>HYPERLINK("https://g1.globo.com/rr/roraima/noticia/2020/09/16/lider-de-organizacao-criminosa-venezuelana-e-preso-em-boa-vista.ghtml", "URL")</f>
        <v/>
      </c>
      <c r="K884">
        <f>HYPERLINK("https://raw.githubusercontent.com/marcosmapl/dataset_imigrantes/main/noticias_filtered/g1/venezuelanos/2020/08_set/html/g1_f50da2a6-2329-11ed-b24f-6dbe51e79fca_4149.html", "HTML")</f>
        <v/>
      </c>
      <c r="L884">
        <f>HYPERLINK("https://raw.githubusercontent.com/marcosmapl/dataset_imigrantes/main/noticias_filtered/g1/venezuelanos/2020/08_set/txt/g1_f50da2a6-2329-11ed-b24f-6dbe51e79fca_4149.txt", "TXT")</f>
        <v/>
      </c>
    </row>
    <row r="885">
      <c r="A885" s="1" t="n">
        <v>883</v>
      </c>
      <c r="B885" t="n">
        <v>2020</v>
      </c>
      <c r="C885" s="2" t="n">
        <v>44090.61694444445</v>
      </c>
      <c r="D885" t="inlineStr">
        <is>
          <t>A CRITICA</t>
        </is>
      </c>
      <c r="E885" t="inlineStr">
        <is>
          <t>VENEZUELANOS</t>
        </is>
      </c>
      <c r="F885" t="inlineStr">
        <is>
          <t>POLICIA</t>
        </is>
      </c>
      <c r="G885" t="inlineStr">
        <is>
          <t>FILIPE TÁVORA</t>
        </is>
      </c>
      <c r="H885" t="inlineStr">
        <is>
          <t>LÍDER DE ORGANIZAÇÃO CRIMINOSA DA VENEZUELA É PRESO EM CONDOMÍNIO DE LUXO</t>
        </is>
      </c>
      <c r="I885" t="inlineStr">
        <is>
          <t>CONHECIDO COMO ‘EL CHUCHU’, JOSÉ JESUS ALCALA FOI PRESO EM BOA VISTA, DURANTE OPERAÇÃO QUE ACONTECEU DE FORMA SIMULTÂNEA EM MANAUS</t>
        </is>
      </c>
      <c r="J885">
        <f>HYPERLINK("https://www.acritica.com/policia/lider-de-organizac-o-criminosa-da-venezuela-e-preso-em-condominio-de-luxo-1.33153", "URL")</f>
        <v/>
      </c>
      <c r="K885">
        <f>HYPERLINK("https://raw.githubusercontent.com/marcosmapl/dataset_imigrantes/main/noticias_filtered/a_critica/venezuelanos/2020/08_set/html/1.33153_919.html", "HTML")</f>
        <v/>
      </c>
      <c r="L885">
        <f>HYPERLINK("https://raw.githubusercontent.com/marcosmapl/dataset_imigrantes/main/noticias_filtered/a_critica/venezuelanos/2020/08_set/txt/1.33153_919.txt", "TXT")</f>
        <v/>
      </c>
    </row>
    <row r="886">
      <c r="A886" s="1" t="n">
        <v>884</v>
      </c>
      <c r="B886" t="n">
        <v>2020</v>
      </c>
      <c r="C886" s="2" t="n">
        <v>44090.55796253472</v>
      </c>
      <c r="D886" t="inlineStr">
        <is>
          <t>G1</t>
        </is>
      </c>
      <c r="E886" t="inlineStr">
        <is>
          <t>VENEZUELANOS</t>
        </is>
      </c>
      <c r="F886" t="inlineStr">
        <is>
          <t>MUNDO</t>
        </is>
      </c>
      <c r="G886" t="inlineStr">
        <is>
          <t>FRANCE PRESSE</t>
        </is>
      </c>
      <c r="H886" t="inlineStr">
        <is>
          <t>MISSÃO DA ONU VINCULA MADURO E GOVERNO VENEZUELANO A CRIMES CONTRA A HUMANIDADE</t>
        </is>
      </c>
      <c r="I886" t="inlineStr">
        <is>
          <t>A MISSÃO INTERNACIONAL DA ONU SOBRE A VENEZUELA INVESTIGOU 223 CASOS DE POSSÍVEIS VIOLAÇÕES DOS DIREITOS HUMANOS NO PAÍS. O PRÓPRIO MADURO DAVA ORDENS PARA QUE O SERVIÇO DE INTELIGÊNCIA DETIVESSEM PESSOAS, DISSERAM OS INVESTIGADORES.</t>
        </is>
      </c>
      <c r="J886">
        <f>HYPERLINK("https://g1.globo.com/mundo/noticia/2020/09/16/missao-da-onu-vincula-maduro-e-governo-venezuelano-a-crimes-contra-a-humanidade.ghtml", "URL")</f>
        <v/>
      </c>
      <c r="K886">
        <f>HYPERLINK("https://raw.githubusercontent.com/marcosmapl/dataset_imigrantes/main/noticias_filtered/g1/venezuelanos/2020/08_set/html/g1_4353e4ba-2317-11ed-b24f-6dbe51e79fca_3197.html", "HTML")</f>
        <v/>
      </c>
      <c r="L886">
        <f>HYPERLINK("https://raw.githubusercontent.com/marcosmapl/dataset_imigrantes/main/noticias_filtered/g1/venezuelanos/2020/08_set/txt/g1_4353e4ba-2317-11ed-b24f-6dbe51e79fca_3197.txt", "TXT")</f>
        <v/>
      </c>
    </row>
    <row r="887">
      <c r="A887" s="1" t="n">
        <v>885</v>
      </c>
      <c r="B887" t="n">
        <v>2020</v>
      </c>
      <c r="C887" s="2" t="n">
        <v>44088.98063877315</v>
      </c>
      <c r="D887" t="inlineStr">
        <is>
          <t>G1</t>
        </is>
      </c>
      <c r="E887" t="inlineStr">
        <is>
          <t>VENEZUELANOS</t>
        </is>
      </c>
      <c r="F887" t="inlineStr">
        <is>
          <t>MUNDO</t>
        </is>
      </c>
      <c r="G887" t="inlineStr">
        <is>
          <t>FRANCE PRESSE</t>
        </is>
      </c>
      <c r="H887" t="inlineStr">
        <is>
          <t>AMERICANO PRESO NA VENEZUELA RESPONDERÁ POR TERRORISMO, DIZ PROCURADOR-GERAL VENEZUELANO</t>
        </is>
      </c>
      <c r="I887" t="inlineStr">
        <is>
          <t>REGIME CHAVISTA ACUSA CIDADÃO DOS EUA DE PLANEJAR ATAQUE A REFINARIA DE PETRÓLEO.</t>
        </is>
      </c>
      <c r="J887">
        <f>HYPERLINK("https://g1.globo.com/mundo/noticia/2020/09/14/americano-preso-na-venezuela-respondera-por-terrorismo-diz-procurador-geral-venezuelano.ghtml", "URL")</f>
        <v/>
      </c>
      <c r="K887">
        <f>HYPERLINK("https://raw.githubusercontent.com/marcosmapl/dataset_imigrantes/main/noticias_filtered/g1/venezuelanos/2020/08_set/html/g1_3160bba4-2324-11ed-b24f-6dbe51e79fca_3854.html", "HTML")</f>
        <v/>
      </c>
      <c r="L887">
        <f>HYPERLINK("https://raw.githubusercontent.com/marcosmapl/dataset_imigrantes/main/noticias_filtered/g1/venezuelanos/2020/08_set/txt/g1_3160bba4-2324-11ed-b24f-6dbe51e79fca_3854.txt", "TXT")</f>
        <v/>
      </c>
    </row>
    <row r="888">
      <c r="A888" s="1" t="n">
        <v>886</v>
      </c>
      <c r="B888" t="n">
        <v>2020</v>
      </c>
      <c r="C888" s="2" t="n">
        <v>44087.86828703704</v>
      </c>
      <c r="D888" t="inlineStr">
        <is>
          <t>A CRITICA</t>
        </is>
      </c>
      <c r="E888" t="inlineStr">
        <is>
          <t>VENEZUELANOS</t>
        </is>
      </c>
      <c r="F888" t="inlineStr">
        <is>
          <t>ESPORTES</t>
        </is>
      </c>
      <c r="G888" t="inlineStr">
        <is>
          <t>AGÊNCIA BRASIL</t>
        </is>
      </c>
      <c r="H888" t="inlineStr">
        <is>
          <t>NENÊ MARCA DUAS VEZES E FLUMINENSE BATE O CORINTHIANS</t>
        </is>
      </c>
      <c r="I888" t="inlineStr">
        <is>
          <t>COM O TRIUNFO, O TRICOLOR DAS LARANJEIRAS VOLTOU A SE APROXIMAR DO G4. JÁ O CORINTHIANS, DEPENDENDO DOS RESULTADOS DESTA RODADA, PODE AMARGAR A ZONA DE REBAIXAMENTO.</t>
        </is>
      </c>
      <c r="J888">
        <f>HYPERLINK("https://www.acritica.com/esportes/nene-marca-duas-vezes-e-fluminense-bate-o-corinthians-1.33321", "URL")</f>
        <v/>
      </c>
      <c r="K888">
        <f>HYPERLINK("https://raw.githubusercontent.com/marcosmapl/dataset_imigrantes/main/noticias_filtered/a_critica/venezuelanos/2020/08_set/html/1.33321_845.html", "HTML")</f>
        <v/>
      </c>
      <c r="L888">
        <f>HYPERLINK("https://raw.githubusercontent.com/marcosmapl/dataset_imigrantes/main/noticias_filtered/a_critica/venezuelanos/2020/08_set/txt/1.33321_845.txt", "TXT")</f>
        <v/>
      </c>
    </row>
    <row r="889">
      <c r="A889" s="1" t="n">
        <v>887</v>
      </c>
      <c r="B889" t="n">
        <v>2020</v>
      </c>
      <c r="C889" s="2" t="n">
        <v>44087.58870424768</v>
      </c>
      <c r="D889" t="inlineStr">
        <is>
          <t>G1</t>
        </is>
      </c>
      <c r="E889" t="inlineStr">
        <is>
          <t>VENEZUELANOS</t>
        </is>
      </c>
      <c r="F889" t="inlineStr">
        <is>
          <t>MUNDO</t>
        </is>
      </c>
      <c r="G889" t="inlineStr">
        <is>
          <t>FRANCE PRESSE</t>
        </is>
      </c>
      <c r="H889" t="inlineStr">
        <is>
          <t>VAZAMENTO DE PETRÓLEO AFETA A COSTA DA VENEZUELA</t>
        </is>
      </c>
      <c r="I889" t="inlineStr">
        <is>
          <t>PROBLEMA OCORRE EM UMA TUBULAÇÃO LIGADA AO PRINCIPAL CENTRO DE REFINO DO PAÍS, SEGUNDO A ESTATAL VENEZUELANA.</t>
        </is>
      </c>
      <c r="J889">
        <f>HYPERLINK("https://g1.globo.com/mundo/noticia/2020/09/13/vazamento-de-petroleo-afeta-a-costa-da-venezuela.ghtml", "URL")</f>
        <v/>
      </c>
      <c r="K889">
        <f>HYPERLINK("https://raw.githubusercontent.com/marcosmapl/dataset_imigrantes/main/noticias_filtered/g1/venezuelanos/2020/08_set/html/g1_2fd0b2d0-2310-11ed-b24f-6dbe51e79fca_2844.html", "HTML")</f>
        <v/>
      </c>
      <c r="L889">
        <f>HYPERLINK("https://raw.githubusercontent.com/marcosmapl/dataset_imigrantes/main/noticias_filtered/g1/venezuelanos/2020/08_set/txt/g1_2fd0b2d0-2310-11ed-b24f-6dbe51e79fca_2844.txt", "TXT")</f>
        <v/>
      </c>
    </row>
    <row r="890">
      <c r="A890" s="1" t="n">
        <v>888</v>
      </c>
      <c r="B890" t="n">
        <v>2020</v>
      </c>
      <c r="C890" s="2" t="n">
        <v>44086.08810442129</v>
      </c>
      <c r="D890" t="inlineStr">
        <is>
          <t>G1</t>
        </is>
      </c>
      <c r="E890" t="inlineStr">
        <is>
          <t>VENEZUELANOS</t>
        </is>
      </c>
      <c r="F890" t="inlineStr">
        <is>
          <t>MUNDO</t>
        </is>
      </c>
      <c r="G890" t="inlineStr">
        <is>
          <t>DEISY BUITRAGO E VIVIAN SEQUERA, REUTERS</t>
        </is>
      </c>
      <c r="H890" t="inlineStr">
        <is>
          <t>MADURO DIZ QUE 'ESPIÃO DOS EUA' FOI DETIDO PERTO DE REFINARIA VENEZUELANA</t>
        </is>
      </c>
      <c r="I890" t="inlineStr">
        <is>
          <t>PRESIDENTE DO GOVERNO CHAVISTA DIZ QUE HAVIA PLANO PARA PROVOCAR A EXPLOSÃO DE UMA DAS REFINARIAS DO PAÍS, QUE SOFRE COM A FALTA DE COMBUSTÍVEIS.</t>
        </is>
      </c>
      <c r="J890">
        <f>HYPERLINK("https://g1.globo.com/mundo/noticia/2020/09/11/maduro-diz-que-espiao-dos-eua-foi-detido-perto-de-refinaria-venezuelana.ghtml", "URL")</f>
        <v/>
      </c>
      <c r="K890">
        <f>HYPERLINK("https://raw.githubusercontent.com/marcosmapl/dataset_imigrantes/main/noticias_filtered/g1/venezuelanos/2020/08_set/html/g1_ea2a0386-2327-11ed-b24f-6dbe51e79fca_4055.html", "HTML")</f>
        <v/>
      </c>
      <c r="L890">
        <f>HYPERLINK("https://raw.githubusercontent.com/marcosmapl/dataset_imigrantes/main/noticias_filtered/g1/venezuelanos/2020/08_set/txt/g1_ea2a0386-2327-11ed-b24f-6dbe51e79fca_4055.txt", "TXT")</f>
        <v/>
      </c>
    </row>
    <row r="891">
      <c r="A891" s="1" t="n">
        <v>889</v>
      </c>
      <c r="B891" t="n">
        <v>2020</v>
      </c>
      <c r="C891" s="2" t="n">
        <v>44086.0358449074</v>
      </c>
      <c r="D891" t="inlineStr">
        <is>
          <t>A CRITICA</t>
        </is>
      </c>
      <c r="E891" t="inlineStr">
        <is>
          <t>VENEZUELANOS</t>
        </is>
      </c>
      <c r="F891" t="inlineStr"/>
      <c r="G891" t="inlineStr">
        <is>
          <t>REUTERS</t>
        </is>
      </c>
      <c r="H891" t="inlineStr">
        <is>
          <t>MADURO DIZ QUE 'ESPIÃO DOS EUA' FOI DETIDO PERTO DE REFINARIA VENEZUELANA</t>
        </is>
      </c>
      <c r="I891" t="inlineStr">
        <is>
          <t>MADURO DISSE QUE SE TRATAVA DE “UM MARINE, QUE SERVIU COMO MARINE EM BASES DA CIA NO IRAQUE</t>
        </is>
      </c>
      <c r="J891">
        <f>HYPERLINK("https://www.acritica.com/maduro-diz-que-espi-o-dos-eua-foi-detido-perto-de-refinaria-venezuelana-1.33381", "URL")</f>
        <v/>
      </c>
      <c r="K891">
        <f>HYPERLINK("https://raw.githubusercontent.com/marcosmapl/dataset_imigrantes/main/noticias_filtered/a_critica/venezuelanos/2020/08_set/html/1.33381_1099.html", "HTML")</f>
        <v/>
      </c>
      <c r="L891">
        <f>HYPERLINK("https://raw.githubusercontent.com/marcosmapl/dataset_imigrantes/main/noticias_filtered/a_critica/venezuelanos/2020/08_set/txt/1.33381_1099.txt", "TXT")</f>
        <v/>
      </c>
    </row>
    <row r="892">
      <c r="A892" s="1" t="n">
        <v>890</v>
      </c>
      <c r="B892" t="n">
        <v>2020</v>
      </c>
      <c r="C892" s="2" t="n">
        <v>44084.72018518519</v>
      </c>
      <c r="D892" t="inlineStr">
        <is>
          <t>A CRITICA</t>
        </is>
      </c>
      <c r="E892" t="inlineStr">
        <is>
          <t>VENEZUELANOS</t>
        </is>
      </c>
      <c r="F892" t="inlineStr"/>
      <c r="G892" t="inlineStr">
        <is>
          <t>PORTAL A CRÍTICA</t>
        </is>
      </c>
      <c r="H892" t="inlineStr">
        <is>
          <t>ONG HERMANITOS ABRE VAGAS PARA VOLUNTÁRIOS EM DIVERSAS ÁREAS</t>
        </is>
      </c>
      <c r="I892" t="inlineStr">
        <is>
          <t>EM MANAUS, A ONG PROMOVE INICIATIVAS DE ACOLHIMENTO E MELHORIA DA QUALIDADE DE VIDA DE IMIGRANTES VENEZUELANOS</t>
        </is>
      </c>
      <c r="J892">
        <f>HYPERLINK("https://www.acritica.com/ong-hermanitos-abre-vagas-para-voluntarios-em-diversas-areas-1.33448", "URL")</f>
        <v/>
      </c>
      <c r="K892">
        <f>HYPERLINK("https://raw.githubusercontent.com/marcosmapl/dataset_imigrantes/main/noticias_filtered/a_critica/venezuelanos/2020/08_set/html/1.33448_60.html", "HTML")</f>
        <v/>
      </c>
      <c r="L892">
        <f>HYPERLINK("https://raw.githubusercontent.com/marcosmapl/dataset_imigrantes/main/noticias_filtered/a_critica/venezuelanos/2020/08_set/txt/1.33448_60.txt", "TXT")</f>
        <v/>
      </c>
    </row>
    <row r="893">
      <c r="A893" s="1" t="n">
        <v>891</v>
      </c>
      <c r="B893" t="n">
        <v>2020</v>
      </c>
      <c r="C893" s="2" t="n">
        <v>44084.41180555556</v>
      </c>
      <c r="D893" t="inlineStr">
        <is>
          <t>PORTAL AMAZONIA</t>
        </is>
      </c>
      <c r="E893" t="inlineStr">
        <is>
          <t>VENEZUELANOS</t>
        </is>
      </c>
      <c r="F893" t="inlineStr">
        <is>
          <t>PARÁ,NOTÍCIAS,CIDADES,SAÚDE</t>
        </is>
      </c>
      <c r="G893" t="inlineStr">
        <is>
          <t>PORTAL AMAZÔNIA, COM INFORMAÇÕES DO MPF-PA</t>
        </is>
      </c>
      <c r="H893" t="inlineStr">
        <is>
          <t>JUSTIÇA DETERMINA DISTRIBUIÇÃO DE CESTAS BÁSICAS E PRODUTOS DE HIGIENE A INDÍGENAS NO PARÁ</t>
        </is>
      </c>
      <c r="I893" t="inlineStr">
        <is>
          <t>O FORNECIMENTO DEVE OCORRER ENQUANTO DURAR A PANDEMIA DA COVID-19.</t>
        </is>
      </c>
      <c r="J893">
        <f>HYPERLINK("https://portalamazonia.com/noticias/justica-determina-distribuicao-de-cestas-basicas-e-produtos-de-higiene-a-indigenas-no-para", "URL")</f>
        <v/>
      </c>
      <c r="K893">
        <f>HYPERLINK("https://raw.githubusercontent.com/marcosmapl/dataset_imigrantes/main/noticias_filtered/portal_amazonia/venezuelanos/2020/08_set/html/28201.42117_1414.html", "HTML")</f>
        <v/>
      </c>
      <c r="L893">
        <f>HYPERLINK("https://raw.githubusercontent.com/marcosmapl/dataset_imigrantes/main/noticias_filtered/portal_amazonia/venezuelanos/2020/08_set/txt/28201.42117_1414.txt", "TXT")</f>
        <v/>
      </c>
    </row>
    <row r="894">
      <c r="A894" s="1" t="n">
        <v>892</v>
      </c>
      <c r="B894" t="n">
        <v>2020</v>
      </c>
      <c r="C894" s="2" t="n">
        <v>44082.8935462963</v>
      </c>
      <c r="D894" t="inlineStr">
        <is>
          <t>G1</t>
        </is>
      </c>
      <c r="E894" t="inlineStr">
        <is>
          <t>HAITIANOS</t>
        </is>
      </c>
      <c r="F894" t="inlineStr">
        <is>
          <t>RIO GRANDE DO SUL</t>
        </is>
      </c>
      <c r="G894" t="inlineStr">
        <is>
          <t>G1 RS</t>
        </is>
      </c>
      <c r="H894" t="inlineStr">
        <is>
          <t>JUSTIÇA DO TRABALHO DETERMINA INDENIZAÇÃO DE R$ 15 MIL A HAITIANO POR OFENSAS RACISTAS DE EX-CHEFE EM PORTO ALEGRE</t>
        </is>
      </c>
      <c r="I894" t="inlineStr">
        <is>
          <t>TRABALHADOR RELATOU OUVIR TERMOS COMO 'PRETO' E 'MACACO'. EMPRESA ALEGA QUE DEMISSÃO FOI CAUSADA POR FALTA AO TRABALHO. CABE RECURSO DA DECISÃO AO TST.</t>
        </is>
      </c>
      <c r="J894">
        <f>HYPERLINK("https://g1.globo.com/rs/rio-grande-do-sul/noticia/2020/09/08/haitiano-e-indenizado-em-r-15-mil-por-sofrer-ofensas-racistas-de-ex-chefe-em-porto-alegre.ghtml", "URL")</f>
        <v/>
      </c>
      <c r="K894">
        <f>HYPERLINK("https://raw.githubusercontent.com/marcosmapl/dataset_imigrantes/main/noticias_filtered/g1/haitianos/2020/08_set/html/g1_535e410c-7eff-47dd-bbf5-c400805d7f65_1627.html", "HTML")</f>
        <v/>
      </c>
      <c r="L894">
        <f>HYPERLINK("https://raw.githubusercontent.com/marcosmapl/dataset_imigrantes/main/noticias_filtered/g1/haitianos/2020/08_set/txt/g1_535e410c-7eff-47dd-bbf5-c400805d7f65_1627.txt", "TXT")</f>
        <v/>
      </c>
    </row>
    <row r="895">
      <c r="A895" s="1" t="n">
        <v>893</v>
      </c>
      <c r="B895" t="n">
        <v>2020</v>
      </c>
      <c r="C895" s="2" t="n">
        <v>44080.8917984838</v>
      </c>
      <c r="D895" t="inlineStr">
        <is>
          <t>G1</t>
        </is>
      </c>
      <c r="E895" t="inlineStr">
        <is>
          <t>VENEZUELANOS</t>
        </is>
      </c>
      <c r="F895" t="inlineStr">
        <is>
          <t>RORAIMA</t>
        </is>
      </c>
      <c r="G895" t="inlineStr">
        <is>
          <t>G1 RR — BOA VISTA</t>
        </is>
      </c>
      <c r="H895" t="inlineStr">
        <is>
          <t>HOMEM É PRESO POR DIRIGIR EMBRIAGADO E CAUSAR ACIDENTE EM BOA VISTA</t>
        </is>
      </c>
      <c r="I895" t="inlineStr">
        <is>
          <t>SEGUNDO A PM, O SUSPEITO É DE ORIGEM VENEZUELANA E NÃO POSSUI LICENÇA PARA DIRIGIR NO BRASIL.</t>
        </is>
      </c>
      <c r="J895">
        <f>HYPERLINK("https://g1.globo.com/rr/roraima/noticia/2020/09/06/homem-e-preso-por-dirigir-embriagado-e-causar-acidente-em-boa-vista.ghtml", "URL")</f>
        <v/>
      </c>
      <c r="K895">
        <f>HYPERLINK("https://raw.githubusercontent.com/marcosmapl/dataset_imigrantes/main/noticias_filtered/g1/venezuelanos/2020/08_set/html/g1_6c399810-2309-11ed-b24f-6dbe51e79fca_2443.html", "HTML")</f>
        <v/>
      </c>
      <c r="L895">
        <f>HYPERLINK("https://raw.githubusercontent.com/marcosmapl/dataset_imigrantes/main/noticias_filtered/g1/venezuelanos/2020/08_set/txt/g1_6c399810-2309-11ed-b24f-6dbe51e79fca_2443.txt", "TXT")</f>
        <v/>
      </c>
    </row>
    <row r="896">
      <c r="A896" s="1" t="n">
        <v>894</v>
      </c>
      <c r="B896" t="n">
        <v>2020</v>
      </c>
      <c r="C896" s="2" t="n">
        <v>44078.97678240741</v>
      </c>
      <c r="D896" t="inlineStr">
        <is>
          <t>A CRITICA</t>
        </is>
      </c>
      <c r="E896" t="inlineStr">
        <is>
          <t>VENEZUELANOS</t>
        </is>
      </c>
      <c r="F896" t="inlineStr"/>
      <c r="G896" t="inlineStr">
        <is>
          <t>AGÊNCIA BRASIL</t>
        </is>
      </c>
      <c r="H896" t="inlineStr">
        <is>
          <t>BRASIL DECLARA DIPLOMATAS DO GOVERNO MADURO 'PERSONAE NON GRATAE'</t>
        </is>
      </c>
      <c r="I896" t="inlineStr">
        <is>
          <t>O ITAMARATY INFORMOU AINDA QUE A DECLARAÇÃO DE “PERSONA NON GRATA” NÃO EQUIVALE, PORTANTO, À EXPULSÃO OU QUALQUER OUTRA MEDIDA DE RETIRADA COMPULSÓRIA DO TERRITÓRIO NACIONAL</t>
        </is>
      </c>
      <c r="J896">
        <f>HYPERLINK("https://www.acritica.com/brasil-declara-diplomatas-do-governo-maduro-personae-non-gratae-1.33816", "URL")</f>
        <v/>
      </c>
      <c r="K896">
        <f>HYPERLINK("https://raw.githubusercontent.com/marcosmapl/dataset_imigrantes/main/noticias_filtered/a_critica/venezuelanos/2020/08_set/html/1.33816_570.html", "HTML")</f>
        <v/>
      </c>
      <c r="L896">
        <f>HYPERLINK("https://raw.githubusercontent.com/marcosmapl/dataset_imigrantes/main/noticias_filtered/a_critica/venezuelanos/2020/08_set/txt/1.33816_570.txt", "TXT")</f>
        <v/>
      </c>
    </row>
    <row r="897">
      <c r="A897" s="1" t="n">
        <v>895</v>
      </c>
      <c r="B897" t="n">
        <v>2020</v>
      </c>
      <c r="C897" s="2" t="n">
        <v>44078.51423092592</v>
      </c>
      <c r="D897" t="inlineStr">
        <is>
          <t>G1</t>
        </is>
      </c>
      <c r="E897" t="inlineStr">
        <is>
          <t>VENEZUELANOS</t>
        </is>
      </c>
      <c r="F897" t="inlineStr">
        <is>
          <t>ECONOMIA</t>
        </is>
      </c>
      <c r="G897" t="inlineStr">
        <is>
          <t>FRANCE PRESSE</t>
        </is>
      </c>
      <c r="H897" t="inlineStr">
        <is>
          <t>VENEZUELANOS LIDAM COM HIPERINFLAÇÃO EM MEIO À PANDEMIA</t>
        </is>
      </c>
      <c r="I897" t="inlineStr">
        <is>
          <t>COM DINHEIRO ESCASSO E MOEDAS INEXISTENTES, POPULAÇÃO DEPENDE DOS CARTÕES DE DÉBITO PARA PAGAR O CAFÉ E DE MOEDAS ESTRANGEIRAS, ESPECIALMENTE O DÓLAR.</t>
        </is>
      </c>
      <c r="J897">
        <f>HYPERLINK("https://g1.globo.com/economia/noticia/2020/09/04/venezuelanos-lidam-com-hiperinflacao-em-meio-a-pandemia.ghtml", "URL")</f>
        <v/>
      </c>
      <c r="K897">
        <f>HYPERLINK("https://raw.githubusercontent.com/marcosmapl/dataset_imigrantes/main/noticias_filtered/g1/venezuelanos/2020/08_set/html/g1_7748c7a8-232c-11ed-b24f-6dbe51e79fca_4306.html", "HTML")</f>
        <v/>
      </c>
      <c r="L897">
        <f>HYPERLINK("https://raw.githubusercontent.com/marcosmapl/dataset_imigrantes/main/noticias_filtered/g1/venezuelanos/2020/08_set/txt/g1_7748c7a8-232c-11ed-b24f-6dbe51e79fca_4306.txt", "TXT")</f>
        <v/>
      </c>
    </row>
    <row r="898">
      <c r="A898" s="1" t="n">
        <v>896</v>
      </c>
      <c r="B898" t="n">
        <v>2020</v>
      </c>
      <c r="C898" s="2" t="n">
        <v>44076.57409047454</v>
      </c>
      <c r="D898" t="inlineStr">
        <is>
          <t>G1</t>
        </is>
      </c>
      <c r="E898" t="inlineStr">
        <is>
          <t>VENEZUELANOS</t>
        </is>
      </c>
      <c r="F898" t="inlineStr">
        <is>
          <t>RORAIMA</t>
        </is>
      </c>
      <c r="G898" t="inlineStr">
        <is>
          <t>G1 RR — BOA VISTA</t>
        </is>
      </c>
      <c r="H898" t="inlineStr">
        <is>
          <t>VENEZUELANO É ASSASSINADO COM CINCO TIROS NA ZONA OESTE DE BOA VISTA</t>
        </is>
      </c>
      <c r="I898" t="inlineStr">
        <is>
          <t>TESTEMUNHAS RELATARAM QUE SUSPEITO DISPAROU APÓS DISCUSSÃO COM A VÍTIMA.</t>
        </is>
      </c>
      <c r="J898">
        <f>HYPERLINK("https://g1.globo.com/rr/roraima/noticia/2020/09/02/venezuelano-e-assassinado-com-cinco-tiros-na-zona-oeste-de-boa-vista.ghtml", "URL")</f>
        <v/>
      </c>
      <c r="K898">
        <f>HYPERLINK("https://raw.githubusercontent.com/marcosmapl/dataset_imigrantes/main/noticias_filtered/g1/venezuelanos/2020/08_set/html/g1_932693e0-2329-11ed-b24f-6dbe51e79fca_4125.html", "HTML")</f>
        <v/>
      </c>
      <c r="L898">
        <f>HYPERLINK("https://raw.githubusercontent.com/marcosmapl/dataset_imigrantes/main/noticias_filtered/g1/venezuelanos/2020/08_set/txt/g1_932693e0-2329-11ed-b24f-6dbe51e79fca_4125.txt", "TXT")</f>
        <v/>
      </c>
    </row>
    <row r="899">
      <c r="A899" s="1" t="n">
        <v>897</v>
      </c>
      <c r="B899" t="n">
        <v>2020</v>
      </c>
      <c r="C899" s="2" t="n">
        <v>44075.83007328703</v>
      </c>
      <c r="D899" t="inlineStr">
        <is>
          <t>G1</t>
        </is>
      </c>
      <c r="E899" t="inlineStr">
        <is>
          <t>HAITIANOS</t>
        </is>
      </c>
      <c r="F899" t="inlineStr">
        <is>
          <t>PARANÁ</t>
        </is>
      </c>
      <c r="G899" t="inlineStr">
        <is>
          <t>RPC CURITIBA</t>
        </is>
      </c>
      <c r="H899" t="inlineStr">
        <is>
          <t>MULHER IMOBILIZA SUSPEITO APÓS TER CELULAR FURTADO, EM CURITIBA: 'TEM QUE SAIR NA RUA PARA PROCURAR TRABALHO E NÃO PARA ROUBAR'</t>
        </is>
      </c>
      <c r="I899" t="inlineStr">
        <is>
          <t>POLÍCIA CIVIL DESTACA QUE NÃO SE DEVE REAGIR EM CASOS DE FURTO OU ROUBO; MULHER CONTOU COM AJUDA DE OUTRAS PESSOAS, QUE IMPEDIRAM A FUGA DO HOMEM, NO CENTRO DA CAPITAL.</t>
        </is>
      </c>
      <c r="J899">
        <f>HYPERLINK("https://g1.globo.com/pr/parana/noticia/2020/09/01/mulher-imobiliza-suspeito-apos-ter-celular-furtado-em-curitiba.ghtml", "URL")</f>
        <v/>
      </c>
      <c r="K899">
        <f>HYPERLINK("https://raw.githubusercontent.com/marcosmapl/dataset_imigrantes/main/noticias_filtered/g1/haitianos/2020/08_set/html/g1_ca494370-22b3-11ed-b24f-6dbe51e79fca_1644.html", "HTML")</f>
        <v/>
      </c>
      <c r="L899">
        <f>HYPERLINK("https://raw.githubusercontent.com/marcosmapl/dataset_imigrantes/main/noticias_filtered/g1/haitianos/2020/08_set/txt/g1_ca494370-22b3-11ed-b24f-6dbe51e79fca_1644.txt", "TXT")</f>
        <v/>
      </c>
    </row>
    <row r="900">
      <c r="A900" s="1" t="n">
        <v>898</v>
      </c>
      <c r="B900" t="n">
        <v>2020</v>
      </c>
      <c r="C900" s="2" t="n">
        <v>44075.00694444445</v>
      </c>
      <c r="D900" t="inlineStr">
        <is>
          <t>A CRITICA</t>
        </is>
      </c>
      <c r="E900" t="inlineStr">
        <is>
          <t>VENEZUELANOS</t>
        </is>
      </c>
      <c r="F900" t="inlineStr">
        <is>
          <t>ESPORTES</t>
        </is>
      </c>
      <c r="G900" t="inlineStr">
        <is>
          <t>LEONARDO SENA</t>
        </is>
      </c>
      <c r="H900" t="inlineStr">
        <is>
          <t>COM 18 ANOS, DAYANA CELEBRA PRIMEIRO GOL NO FUTEBOL AMAZONENSE</t>
        </is>
      </c>
      <c r="I900" t="inlineStr">
        <is>
          <t>ANTES JOGADORA DO 3B, VENEZUELANA AGORA FAZ PARTE DO IRANDUBA APÓS PARCERIA FIRMADA ENTRE CLUBES. GOLAÇO CONTRA O VITÓRIA-BA FOI O PRIMEIRO NO FUTEBOL BARÉ</t>
        </is>
      </c>
      <c r="J900">
        <f>HYPERLINK("https://www.acritica.com/esportes/com-18-anos-dayana-celebra-primeiro-gol-no-futebol-amazonense-1.34238", "URL")</f>
        <v/>
      </c>
      <c r="K900">
        <f>HYPERLINK("https://raw.githubusercontent.com/marcosmapl/dataset_imigrantes/main/noticias_filtered/a_critica/venezuelanos/2020/08_set/html/1.34238_78.html", "HTML")</f>
        <v/>
      </c>
      <c r="L900">
        <f>HYPERLINK("https://raw.githubusercontent.com/marcosmapl/dataset_imigrantes/main/noticias_filtered/a_critica/venezuelanos/2020/08_set/txt/1.34238_78.txt", "TXT")</f>
        <v/>
      </c>
    </row>
    <row r="901">
      <c r="A901" s="1" t="n">
        <v>899</v>
      </c>
      <c r="B901" t="n">
        <v>2020</v>
      </c>
      <c r="C901" s="2" t="n">
        <v>44071.98372819444</v>
      </c>
      <c r="D901" t="inlineStr">
        <is>
          <t>G1</t>
        </is>
      </c>
      <c r="E901" t="inlineStr">
        <is>
          <t>VENEZUELANOS</t>
        </is>
      </c>
      <c r="F901" t="inlineStr">
        <is>
          <t>MUNDO</t>
        </is>
      </c>
      <c r="G901" t="inlineStr">
        <is>
          <t>G1</t>
        </is>
      </c>
      <c r="H901" t="inlineStr">
        <is>
          <t>BRASIL CONCEDE REFÚGIO A QUASE 8 MIL VENEZUELANOS DE UMA VEZ</t>
        </is>
      </c>
      <c r="I901" t="inlineStr">
        <is>
          <t>COMITÊ APROVOU NOVA LEVA DE RECONHECIMENTO DO STATUS DE REFUGIADO A CIDADÃOS DA VENEZUELA, QUE RESPONDEM POR MAIS DA METADE DAS SOLICITAÇÕES AINDA EM ANDAMENTO.</t>
        </is>
      </c>
      <c r="J901">
        <f>HYPERLINK("https://g1.globo.com/mundo/noticia/2020/08/28/brasil-concede-refugio-a-quase-8-mil-venezuelanos-de-uma-vez.ghtml", "URL")</f>
        <v/>
      </c>
      <c r="K901">
        <f>HYPERLINK("https://raw.githubusercontent.com/marcosmapl/dataset_imigrantes/main/noticias_filtered/g1/venezuelanos/2020/07_ago/html/g1_d7c8e8f8-232a-11ed-b24f-6dbe51e79fca_4206.html", "HTML")</f>
        <v/>
      </c>
      <c r="L901">
        <f>HYPERLINK("https://raw.githubusercontent.com/marcosmapl/dataset_imigrantes/main/noticias_filtered/g1/venezuelanos/2020/07_ago/txt/g1_d7c8e8f8-232a-11ed-b24f-6dbe51e79fca_4206.txt", "TXT")</f>
        <v/>
      </c>
    </row>
    <row r="902">
      <c r="A902" s="1" t="n">
        <v>900</v>
      </c>
      <c r="B902" t="n">
        <v>2020</v>
      </c>
      <c r="C902" s="2" t="n">
        <v>44069.70869015047</v>
      </c>
      <c r="D902" t="inlineStr">
        <is>
          <t>G1</t>
        </is>
      </c>
      <c r="E902" t="inlineStr">
        <is>
          <t>VENEZUELANOS</t>
        </is>
      </c>
      <c r="F902" t="inlineStr">
        <is>
          <t>SÃO PAULO</t>
        </is>
      </c>
      <c r="G902" t="inlineStr">
        <is>
          <t>PATRÍCIA FIGUEIREDO E TAHIANE STOCHERO, G1 SP — SÃO PAULO</t>
        </is>
      </c>
      <c r="H902" t="inlineStr">
        <is>
          <t>EM MEIO À PANDEMIA, SP RECEBEU 2 MIL IMIGRANTES VENEZUELANOS; ESTRANGEIROS RELATAM DISCRIMINAÇÃO EM AGÊNCIAS</t>
        </is>
      </c>
      <c r="I902" t="inlineStr">
        <is>
          <t>2.018 VENEZUELANOS FORAM ATENDIDOS PELA CARITAS NO ESTADO NOS ÚLTIMOS 6 MESES. NA CAPITAL, ESTRANGEIROS TÊM DIFICULDADE EM RECEBER ATENDIMENTO NO BANCO E DENUNCIAM CASOS DE XENOFOBIA.</t>
        </is>
      </c>
      <c r="J902">
        <f>HYPERLINK("https://g1.globo.com/sp/sao-paulo/noticia/2020/08/26/em-meio-a-pandemia-sp-recebeu-2-mil-imigrantes-venezuelanos-estrangeiros-relatam-discriminacao-em-agencias-bancarias.ghtml", "URL")</f>
        <v/>
      </c>
      <c r="K902">
        <f>HYPERLINK("https://raw.githubusercontent.com/marcosmapl/dataset_imigrantes/main/noticias_filtered/g1/venezuelanos/2020/07_ago/html/g1_c455c690-2309-11ed-b24f-6dbe51e79fca_2462.html", "HTML")</f>
        <v/>
      </c>
      <c r="L902">
        <f>HYPERLINK("https://raw.githubusercontent.com/marcosmapl/dataset_imigrantes/main/noticias_filtered/g1/venezuelanos/2020/07_ago/txt/g1_c455c690-2309-11ed-b24f-6dbe51e79fca_2462.txt", "TXT")</f>
        <v/>
      </c>
    </row>
    <row r="903">
      <c r="A903" s="1" t="n">
        <v>901</v>
      </c>
      <c r="B903" t="n">
        <v>2020</v>
      </c>
      <c r="C903" s="2" t="n">
        <v>44068.01481254629</v>
      </c>
      <c r="D903" t="inlineStr">
        <is>
          <t>G1</t>
        </is>
      </c>
      <c r="E903" t="inlineStr">
        <is>
          <t>HAITIANOS</t>
        </is>
      </c>
      <c r="F903" t="inlineStr">
        <is>
          <t>MUNDO</t>
        </is>
      </c>
      <c r="G903" t="inlineStr">
        <is>
          <t>BBC</t>
        </is>
      </c>
      <c r="H903" t="inlineStr">
        <is>
          <t>LAURA E MARCO: AS TEMPESTADES TROPICAIS QUE ASSUSTAM A AMÉRICA CENTRAL E OS EUA</t>
        </is>
      </c>
      <c r="I903" t="inlineStr">
        <is>
          <t>ESPECIALISTAS APONTAM PARA A POSSIBILIDADE DE QUE COSTA NORTE-AMERICANA TENHA DOIS FURACÕES AO MESMO TEMPO.</t>
        </is>
      </c>
      <c r="J903">
        <f>HYPERLINK("https://g1.globo.com/mundo/noticia/2020/08/24/laura-e-marco-as-tempestades-tropicais-que-assustam-a-america-central-e-os-eua.ghtml", "URL")</f>
        <v/>
      </c>
      <c r="K903">
        <f>HYPERLINK("https://raw.githubusercontent.com/marcosmapl/dataset_imigrantes/main/noticias_filtered/g1/haitianos/2020/07_ago/html/g1_ca6cfd68-230f-11ed-b24f-6dbe51e79fca_2819.html", "HTML")</f>
        <v/>
      </c>
      <c r="L903">
        <f>HYPERLINK("https://raw.githubusercontent.com/marcosmapl/dataset_imigrantes/main/noticias_filtered/g1/haitianos/2020/07_ago/txt/g1_ca6cfd68-230f-11ed-b24f-6dbe51e79fca_2819.txt", "TXT")</f>
        <v/>
      </c>
    </row>
    <row r="904">
      <c r="A904" s="1" t="n">
        <v>902</v>
      </c>
      <c r="B904" t="n">
        <v>2020</v>
      </c>
      <c r="C904" s="2" t="n">
        <v>44067.83928084491</v>
      </c>
      <c r="D904" t="inlineStr">
        <is>
          <t>G1</t>
        </is>
      </c>
      <c r="E904" t="inlineStr">
        <is>
          <t>VENEZUELANOS</t>
        </is>
      </c>
      <c r="F904" t="inlineStr">
        <is>
          <t>SANTARÉM E REGIÃO</t>
        </is>
      </c>
      <c r="G904" t="inlineStr">
        <is>
          <t>G1 SANTARÉM — PARÁ</t>
        </is>
      </c>
      <c r="H904" t="inlineStr">
        <is>
          <t>INDÍGENA WARAO É CONTRATADO PELA ADRA/UNICEF COM FUNÇÃO DE AUXILIAR VENEZUELANOS EM SANTARÉM</t>
        </is>
      </c>
      <c r="I904" t="inlineStr">
        <is>
          <t>RAFAEL LAPORTA POSSUI NÍVEL SUPERIOR EM ADMINISTRAÇÃO DE GESTÃO PÚBLICA PELA UNIVERSIDADE DE TUCUPITA, NA VENEZUELA.</t>
        </is>
      </c>
      <c r="J904">
        <f>HYPERLINK("https://g1.globo.com/pa/santarem-regiao/noticia/2020/08/24/indigena-warao-e-contratado-pela-adraunicef-com-funcao-de-auxiliar-venezuelanos-em-santarem.ghtml", "URL")</f>
        <v/>
      </c>
      <c r="K904">
        <f>HYPERLINK("https://raw.githubusercontent.com/marcosmapl/dataset_imigrantes/main/noticias_filtered/g1/venezuelanos/2020/07_ago/html/g1_9a9bc886-2327-11ed-b24f-6dbe51e79fca_4042.html", "HTML")</f>
        <v/>
      </c>
      <c r="L904">
        <f>HYPERLINK("https://raw.githubusercontent.com/marcosmapl/dataset_imigrantes/main/noticias_filtered/g1/venezuelanos/2020/07_ago/txt/g1_9a9bc886-2327-11ed-b24f-6dbe51e79fca_4042.txt", "TXT")</f>
        <v/>
      </c>
    </row>
    <row r="905">
      <c r="A905" s="1" t="n">
        <v>903</v>
      </c>
      <c r="B905" t="n">
        <v>2020</v>
      </c>
      <c r="C905" s="2" t="n">
        <v>44067.73263888889</v>
      </c>
      <c r="D905" t="inlineStr">
        <is>
          <t>A CRITICA</t>
        </is>
      </c>
      <c r="E905" t="inlineStr">
        <is>
          <t>VENEZUELANOS</t>
        </is>
      </c>
      <c r="F905" t="inlineStr"/>
      <c r="G905" t="inlineStr">
        <is>
          <t>JEFFERSON RAMOS</t>
        </is>
      </c>
      <c r="H905" t="inlineStr">
        <is>
          <t>JOSUÉ E ADJUTO QUEREM CONDECORAR PAZUELLO POR ‘SERVIÇOS PRESTADOS À AMAZÔNIA’</t>
        </is>
      </c>
      <c r="I905" t="inlineStr">
        <is>
          <t>EDUARDO PAZUELLO CHEFIA A ÁREA DA SAÚDE DO GOVERNO BOLSONARO DESDE MEADOS DE MAIO EM SUBSTITUIÇÃO AOS MINISTROS LUIZ HENRIQUE MANDETTA E EDUARDO TEICH, QUE ABANDONARAM O MINISTÉRIO</t>
        </is>
      </c>
      <c r="J905">
        <f>HYPERLINK("https://www.acritica.com/josue-e-adjuto-querem-condecorar-pazuello-por-servicos-prestados-a-amazonia-1.34141", "URL")</f>
        <v/>
      </c>
      <c r="K905">
        <f>HYPERLINK("https://raw.githubusercontent.com/marcosmapl/dataset_imigrantes/main/noticias_filtered/a_critica/venezuelanos/2020/07_ago/html/1.34141_438.html", "HTML")</f>
        <v/>
      </c>
      <c r="L905">
        <f>HYPERLINK("https://raw.githubusercontent.com/marcosmapl/dataset_imigrantes/main/noticias_filtered/a_critica/venezuelanos/2020/07_ago/txt/1.34141_438.txt", "TXT")</f>
        <v/>
      </c>
    </row>
    <row r="906">
      <c r="A906" s="1" t="n">
        <v>904</v>
      </c>
      <c r="B906" t="n">
        <v>2020</v>
      </c>
      <c r="C906" s="2" t="n">
        <v>44066.62480844907</v>
      </c>
      <c r="D906" t="inlineStr">
        <is>
          <t>G1</t>
        </is>
      </c>
      <c r="E906" t="inlineStr">
        <is>
          <t>HAITIANOS</t>
        </is>
      </c>
      <c r="F906" t="inlineStr">
        <is>
          <t>MUNDO</t>
        </is>
      </c>
      <c r="G906" t="inlineStr">
        <is>
          <t>FRANCE PRESSE</t>
        </is>
      </c>
      <c r="H906" t="inlineStr">
        <is>
          <t>TEMPESTADE TROPICAL LAURA DEIXA SUA PRIMEIRA VÍTIMA NO HAITI</t>
        </is>
      </c>
      <c r="I906" t="inlineStr">
        <is>
          <t>UMA MENINA DE 10 ANOS MORREU NA MANHÃ DESTE DOMINGO (23) NO SUDESTE DO PAÍS DEVIDO À PROXIMIDADE DA TEMPESTADE TROPICAL LAURA, QUE AMEAÇA COM INUNDAÇÕES E DESLIZAMENTOS DE TERRA.</t>
        </is>
      </c>
      <c r="J906">
        <f>HYPERLINK("https://g1.globo.com/mundo/noticia/2020/08/23/tempestade-tropical-laura-deixa-sua-primeira-vitima-no-haiti.ghtml", "URL")</f>
        <v/>
      </c>
      <c r="K906">
        <f>HYPERLINK("https://raw.githubusercontent.com/marcosmapl/dataset_imigrantes/main/noticias_filtered/g1/haitianos/2020/07_ago/html/g1_f36065ec-22ed-11ed-b24f-6dbe51e79fca_1693.html", "HTML")</f>
        <v/>
      </c>
      <c r="L906">
        <f>HYPERLINK("https://raw.githubusercontent.com/marcosmapl/dataset_imigrantes/main/noticias_filtered/g1/haitianos/2020/07_ago/txt/g1_f36065ec-22ed-11ed-b24f-6dbe51e79fca_1693.txt", "TXT")</f>
        <v/>
      </c>
    </row>
    <row r="907">
      <c r="A907" s="1" t="n">
        <v>905</v>
      </c>
      <c r="B907" t="n">
        <v>2020</v>
      </c>
      <c r="C907" s="2" t="n">
        <v>44066.61515616898</v>
      </c>
      <c r="D907" t="inlineStr">
        <is>
          <t>G1</t>
        </is>
      </c>
      <c r="E907" t="inlineStr">
        <is>
          <t>VENEZUELANOS</t>
        </is>
      </c>
      <c r="F907" t="inlineStr">
        <is>
          <t>RORAIMA</t>
        </is>
      </c>
      <c r="G907" t="inlineStr">
        <is>
          <t>G1 RR — BOA VISTA</t>
        </is>
      </c>
      <c r="H907" t="inlineStr">
        <is>
          <t>CORPO DE JOVEM ENCONTRADO COM MÃOS AMARRADAS É DE IMIGRANTE DESAPARECIDO</t>
        </is>
      </c>
      <c r="I907" t="inlineStr">
        <is>
          <t>ADOLESCENTE DE 17 ANOS E DE NACIONALIDADE VENEZUELANA, ESTAVA DESAPARECIDO HAVIA QUATRO DIAS.</t>
        </is>
      </c>
      <c r="J907">
        <f>HYPERLINK("https://g1.globo.com/rr/roraima/noticia/2020/08/23/corpo-de-jovem-encontrado-com-maos-amarradas-e-de-imigrante-desaparecido.ghtml", "URL")</f>
        <v/>
      </c>
      <c r="K907">
        <f>HYPERLINK("https://raw.githubusercontent.com/marcosmapl/dataset_imigrantes/main/noticias_filtered/g1/venezuelanos/2020/07_ago/html/g1_fa35c4d4-2315-11ed-b24f-6dbe51e79fca_3118.html", "HTML")</f>
        <v/>
      </c>
      <c r="L907">
        <f>HYPERLINK("https://raw.githubusercontent.com/marcosmapl/dataset_imigrantes/main/noticias_filtered/g1/venezuelanos/2020/07_ago/txt/g1_fa35c4d4-2315-11ed-b24f-6dbe51e79fca_3118.txt", "TXT")</f>
        <v/>
      </c>
    </row>
    <row r="908">
      <c r="A908" s="1" t="n">
        <v>906</v>
      </c>
      <c r="B908" t="n">
        <v>2020</v>
      </c>
      <c r="C908" s="2" t="n">
        <v>44064.52777777778</v>
      </c>
      <c r="D908" t="inlineStr">
        <is>
          <t>A CRITICA</t>
        </is>
      </c>
      <c r="E908" t="inlineStr">
        <is>
          <t>HAITIANOS</t>
        </is>
      </c>
      <c r="F908" t="inlineStr">
        <is>
          <t>POLICIA</t>
        </is>
      </c>
      <c r="G908" t="inlineStr">
        <is>
          <t>FILIPE TÁVORA</t>
        </is>
      </c>
      <c r="H908" t="inlineStr">
        <is>
          <t>TRIO É PRESO EM FLAGRANTE POR TRÁFICO DE DROGAS NO PARQUE DEZ</t>
        </is>
      </c>
      <c r="I908" t="inlineStr">
        <is>
          <t>OS TRÊS ESTAVA COMERCIANDO DROGAS NA RUA DOM DIOGO DE SOUZA, NA COMUNIDADE JACAREZINHO, QUANDO FORAM VISTOS PELOS POLICIAIS</t>
        </is>
      </c>
      <c r="J908">
        <f>HYPERLINK("https://www.acritica.com/policia/trio-e-preso-em-flagrante-por-trafico-de-drogas-no-parque-dez-1.34628", "URL")</f>
        <v/>
      </c>
      <c r="K908">
        <f>HYPERLINK("https://raw.githubusercontent.com/marcosmapl/dataset_imigrantes/main/noticias_filtered/a_critica/haitianos/2020/07_ago/html/1.34628_1067.html", "HTML")</f>
        <v/>
      </c>
      <c r="L908">
        <f>HYPERLINK("https://raw.githubusercontent.com/marcosmapl/dataset_imigrantes/main/noticias_filtered/a_critica/haitianos/2020/07_ago/txt/1.34628_1067.txt", "TXT")</f>
        <v/>
      </c>
    </row>
    <row r="909">
      <c r="A909" s="1" t="n">
        <v>907</v>
      </c>
      <c r="B909" t="n">
        <v>2020</v>
      </c>
      <c r="C909" s="2" t="n">
        <v>44056.91458333333</v>
      </c>
      <c r="D909" t="inlineStr">
        <is>
          <t>A CRITICA</t>
        </is>
      </c>
      <c r="E909" t="inlineStr">
        <is>
          <t>VENEZUELANOS</t>
        </is>
      </c>
      <c r="F909" t="inlineStr">
        <is>
          <t>MANAUS</t>
        </is>
      </c>
      <c r="G909" t="inlineStr">
        <is>
          <t>LUIZ G. MELO</t>
        </is>
      </c>
      <c r="H909" t="inlineStr">
        <is>
          <t>'PARCEIROS BRILHANTES' PROMOVE JANTAR BENEFICENTE EM MANAUS</t>
        </is>
      </c>
      <c r="I909" t="inlineStr">
        <is>
          <t>O “PARCEIROS BRILHANTES” GANHOU NOTORIEDADE RECENTEMENTE AO AJUDAR A EX-MORADORA DE RUA MARIA SOLANGE (MAIS CONHECIDA COMO MARINA SILVA DE MANAUS) A CONSEGUIR VAGA EM UMA CLÍNICA DE REABILITAÇÃO EM SÃO PAULO PARA SE LIVRAR DA DEPENDÊNCIA QUÍMICA</t>
        </is>
      </c>
      <c r="J909">
        <f>HYPERLINK("https://www.acritica.com/manaus/parceiros-brilhantes-promove-jantar-beneficente-em-manaus-1.35367", "URL")</f>
        <v/>
      </c>
      <c r="K909">
        <f>HYPERLINK("https://raw.githubusercontent.com/marcosmapl/dataset_imigrantes/main/noticias_filtered/a_critica/venezuelanos/2020/07_ago/html/1.35367_139.html", "HTML")</f>
        <v/>
      </c>
      <c r="L909">
        <f>HYPERLINK("https://raw.githubusercontent.com/marcosmapl/dataset_imigrantes/main/noticias_filtered/a_critica/venezuelanos/2020/07_ago/txt/1.35367_139.txt", "TXT")</f>
        <v/>
      </c>
    </row>
    <row r="910">
      <c r="A910" s="1" t="n">
        <v>908</v>
      </c>
      <c r="B910" t="n">
        <v>2020</v>
      </c>
      <c r="C910" s="2" t="n">
        <v>44055.96053787037</v>
      </c>
      <c r="D910" t="inlineStr">
        <is>
          <t>G1</t>
        </is>
      </c>
      <c r="E910" t="inlineStr">
        <is>
          <t>VENEZUELANOS</t>
        </is>
      </c>
      <c r="F910" t="inlineStr">
        <is>
          <t>MATO GROSSO</t>
        </is>
      </c>
      <c r="G910" t="inlineStr"/>
      <c r="H910" t="inlineStr">
        <is>
          <t>MÃES VENEZUELANAS SÃO ORIENTADAS POR MP A NÃO EXPOR CRIANÇAS PARA PEDIR AJUDA EM RUAS DE CUIABÁ</t>
        </is>
      </c>
      <c r="I910" t="inlineStr">
        <is>
          <t>A PROMOTORIA ALERTOU QUE O NÃO ATENDIMENTO ÀS ORIENTAÇÕES DOS ÓRGÃOS DE PROTEÇÃO ÀS CRIANÇAS E ADOLESCENTES PODEM RESULTAR EM PROCESSOS PARA PERDA DO PODER FAMILIAR EM RELAÇÃO AOS FILHOS.</t>
        </is>
      </c>
      <c r="J910">
        <f>HYPERLINK("https://g1.globo.com/mt/mato-grosso/noticia/2020/08/12/maes-venezuelanas-sao-orientadas-pelo-mp-a-nao-expor-criancas-para-pedir-ajuda-em-ruas-de-cuiaba.ghtml", "URL")</f>
        <v/>
      </c>
      <c r="K910">
        <f>HYPERLINK("https://raw.githubusercontent.com/marcosmapl/dataset_imigrantes/main/noticias_filtered/g1/venezuelanos/2020/07_ago/html/g1_c8a42d1a-2325-11ed-b24f-6dbe51e79fca_3934.html", "HTML")</f>
        <v/>
      </c>
      <c r="L910">
        <f>HYPERLINK("https://raw.githubusercontent.com/marcosmapl/dataset_imigrantes/main/noticias_filtered/g1/venezuelanos/2020/07_ago/txt/g1_c8a42d1a-2325-11ed-b24f-6dbe51e79fca_3934.txt", "TXT")</f>
        <v/>
      </c>
    </row>
    <row r="911">
      <c r="A911" s="1" t="n">
        <v>909</v>
      </c>
      <c r="B911" t="n">
        <v>2020</v>
      </c>
      <c r="C911" s="2" t="n">
        <v>44053.80840277778</v>
      </c>
      <c r="D911" t="inlineStr">
        <is>
          <t>A CRITICA</t>
        </is>
      </c>
      <c r="E911" t="inlineStr">
        <is>
          <t>VENEZUELANOS</t>
        </is>
      </c>
      <c r="F911" t="inlineStr">
        <is>
          <t>ESPORTES</t>
        </is>
      </c>
      <c r="G911" t="inlineStr">
        <is>
          <t>LEONARDO SENA</t>
        </is>
      </c>
      <c r="H911" t="inlineStr">
        <is>
          <t>3B SPORT CONFIRMA PERMANÊNCIA DA VOLANTE VENEZUELANA DAYANA</t>
        </is>
      </c>
      <c r="I911" t="inlineStr">
        <is>
          <t>JOGADORA INTERESSAVA AO DEPORTIVO LA CORUNÃ, DA ESPANHA, MAS NEGÓCIO TRAVOU POR FRONTEIRA ESTAR FECHADA COM PAÍS NATAL DA VOLANTE, QUE NÃO RESOLVEU PENDÊNCIAS REFERENTES AO PASSAPORTE</t>
        </is>
      </c>
      <c r="J911">
        <f>HYPERLINK("https://www.acritica.com/esportes/3b-sport-confirma-permanencia-da-volante-venezuelana-dayana-1.35222", "URL")</f>
        <v/>
      </c>
      <c r="K911">
        <f>HYPERLINK("https://raw.githubusercontent.com/marcosmapl/dataset_imigrantes/main/noticias_filtered/a_critica/venezuelanos/2020/07_ago/html/1.35222_1100.html", "HTML")</f>
        <v/>
      </c>
      <c r="L911">
        <f>HYPERLINK("https://raw.githubusercontent.com/marcosmapl/dataset_imigrantes/main/noticias_filtered/a_critica/venezuelanos/2020/07_ago/txt/1.35222_1100.txt", "TXT")</f>
        <v/>
      </c>
    </row>
    <row r="912">
      <c r="A912" s="1" t="n">
        <v>910</v>
      </c>
      <c r="B912" t="n">
        <v>2020</v>
      </c>
      <c r="C912" s="2" t="n">
        <v>44053.56484226852</v>
      </c>
      <c r="D912" t="inlineStr">
        <is>
          <t>G1</t>
        </is>
      </c>
      <c r="E912" t="inlineStr">
        <is>
          <t>VENEZUELANOS</t>
        </is>
      </c>
      <c r="F912" t="inlineStr">
        <is>
          <t>RORAIMA</t>
        </is>
      </c>
      <c r="G912" t="inlineStr">
        <is>
          <t>G1 RR — BOA VISTA</t>
        </is>
      </c>
      <c r="H912" t="inlineStr">
        <is>
          <t>VENEZUELANO MORRE E OUTRO FICA FERIDO EM CAPOTAMENTO EM PACARAIMA, NORTE DE RR</t>
        </is>
      </c>
      <c r="I912" t="inlineStr">
        <is>
          <t>ACIDENTE FOI EM UMA LADEIRA NA SUA SUAPI, UMA DAS PRINCIPAIS DE PACARAIMA.</t>
        </is>
      </c>
      <c r="J912">
        <f>HYPERLINK("https://g1.globo.com/rr/roraima/noticia/2020/08/10/venezuelano-morre-e-outro-fica-ferido-em-capotamento-em-pacaraima-norte-de-rr.ghtml", "URL")</f>
        <v/>
      </c>
      <c r="K912">
        <f>HYPERLINK("https://raw.githubusercontent.com/marcosmapl/dataset_imigrantes/main/noticias_filtered/g1/venezuelanos/2020/07_ago/html/g1_320cbf92-2317-11ed-b24f-6dbe51e79fca_3192.html", "HTML")</f>
        <v/>
      </c>
      <c r="L912">
        <f>HYPERLINK("https://raw.githubusercontent.com/marcosmapl/dataset_imigrantes/main/noticias_filtered/g1/venezuelanos/2020/07_ago/txt/g1_320cbf92-2317-11ed-b24f-6dbe51e79fca_3192.txt", "TXT")</f>
        <v/>
      </c>
    </row>
    <row r="913">
      <c r="A913" s="1" t="n">
        <v>911</v>
      </c>
      <c r="B913" t="n">
        <v>2020</v>
      </c>
      <c r="C913" s="2" t="n">
        <v>44049.57361111111</v>
      </c>
      <c r="D913" t="inlineStr">
        <is>
          <t>A CRITICA</t>
        </is>
      </c>
      <c r="E913" t="inlineStr">
        <is>
          <t>VENEZUELANOS</t>
        </is>
      </c>
      <c r="F913" t="inlineStr">
        <is>
          <t>OPINIAO</t>
        </is>
      </c>
      <c r="G913" t="inlineStr">
        <is>
          <t>DULCE RODRIGUEZ</t>
        </is>
      </c>
      <c r="H913" t="inlineStr">
        <is>
          <t>O QUE VOCÊ ACHA DE FAZER PLANTÃO NOTURNO POR R$ 13, 33/DIA?</t>
        </is>
      </c>
      <c r="I913" t="inlineStr">
        <is>
          <t>RECEBI UMA PROPOSTA DE EMPREGO QUE ME DEIXOU EM BRANCO. DE PRONTO, SÓ CONSEGUI RESPONDER: “VOCÊ ESTÁ BRINCANDO?”</t>
        </is>
      </c>
      <c r="J913">
        <f>HYPERLINK("https://www.acritica.com/opiniao/o-que-voce-acha-de-fazer-plant-o-noturno-por-r-13-33-dia-1.215848", "URL")</f>
        <v/>
      </c>
      <c r="K913">
        <f>HYPERLINK("https://raw.githubusercontent.com/marcosmapl/dataset_imigrantes/main/noticias_filtered/a_critica/venezuelanos/2020/07_ago/html/1.215848_374.html", "HTML")</f>
        <v/>
      </c>
      <c r="L913">
        <f>HYPERLINK("https://raw.githubusercontent.com/marcosmapl/dataset_imigrantes/main/noticias_filtered/a_critica/venezuelanos/2020/07_ago/txt/1.215848_374.txt", "TXT")</f>
        <v/>
      </c>
    </row>
    <row r="914">
      <c r="A914" s="1" t="n">
        <v>912</v>
      </c>
      <c r="B914" t="n">
        <v>2020</v>
      </c>
      <c r="C914" s="2" t="n">
        <v>44048.37581387731</v>
      </c>
      <c r="D914" t="inlineStr">
        <is>
          <t>G1</t>
        </is>
      </c>
      <c r="E914" t="inlineStr">
        <is>
          <t>VENEZUELANOS</t>
        </is>
      </c>
      <c r="F914" t="inlineStr">
        <is>
          <t>GOIÁS</t>
        </is>
      </c>
      <c r="G914" t="inlineStr">
        <is>
          <t>GUILHERME RODRIGUES, TV ANHANGUERA</t>
        </is>
      </c>
      <c r="H914" t="inlineStr">
        <is>
          <t>VENEZUELANA PEDE AJUDA PARA EQUIPAR SALÃO DE BELEZA PARA JUNTAR DINHEIRO E REENCONTRAR A FAMÍLIA: 'SINTO MUITA FALTA'</t>
        </is>
      </c>
      <c r="I914" t="inlineStr">
        <is>
          <t>ÁNGELA MARÍA BARCELÓ PÉREZ, DE 38 ANOS, CONTA QUE DEIXOU DOIS FILHOS COM A MÃE DELA PARA BUSCAR MELHORES CONDIÇÕES DE VIDA EM GOIÂNIA, HÁ DOIS ANOS. ELA PRECISA DE CHAPINHA, MÁQUINA DE CORTAR CABELO E LAVATÓRIO.</t>
        </is>
      </c>
      <c r="J914">
        <f>HYPERLINK("https://g1.globo.com/go/goias/noticia/2020/08/05/venezuelana-pede-ajuda-para-equipar-salao-de-beleza-para-juntar-dinheiro-e-reencontrar-a-familia-sinto-muita-falta.ghtml", "URL")</f>
        <v/>
      </c>
      <c r="K914">
        <f>HYPERLINK("https://raw.githubusercontent.com/marcosmapl/dataset_imigrantes/main/noticias_filtered/g1/venezuelanos/2020/07_ago/html/g1_51d7fe4e-232c-11ed-b24f-6dbe51e79fca_4297.html", "HTML")</f>
        <v/>
      </c>
      <c r="L914">
        <f>HYPERLINK("https://raw.githubusercontent.com/marcosmapl/dataset_imigrantes/main/noticias_filtered/g1/venezuelanos/2020/07_ago/txt/g1_51d7fe4e-232c-11ed-b24f-6dbe51e79fca_4297.txt", "TXT")</f>
        <v/>
      </c>
    </row>
    <row r="915">
      <c r="A915" s="1" t="n">
        <v>913</v>
      </c>
      <c r="B915" t="n">
        <v>2020</v>
      </c>
      <c r="C915" s="2" t="n">
        <v>44046.61404424768</v>
      </c>
      <c r="D915" t="inlineStr">
        <is>
          <t>G1</t>
        </is>
      </c>
      <c r="E915" t="inlineStr">
        <is>
          <t>VENEZUELANOS</t>
        </is>
      </c>
      <c r="F915" t="inlineStr">
        <is>
          <t>RORAIMA</t>
        </is>
      </c>
      <c r="G915" t="inlineStr">
        <is>
          <t>G1 RR — BOA VISTA</t>
        </is>
      </c>
      <c r="H915" t="inlineStr">
        <is>
          <t>VENEZUELANOS FAZEM CURSO VIRTUAL DE PORTUGUÊS EM ABRIGOS DE BOA VISTA</t>
        </is>
      </c>
      <c r="I915" t="inlineStr">
        <is>
          <t>CURSO É GRATUITO E OFERTADO A IMIGRANTES QUE VIVEM EM SETE ABRIGOS DA CAPITAL.</t>
        </is>
      </c>
      <c r="J915">
        <f>HYPERLINK("https://g1.globo.com/rr/roraima/noticia/2020/08/03/venezuelanos-fazem-curso-virtual-de-portugues-em-abrigos-de-boa-vista.ghtml", "URL")</f>
        <v/>
      </c>
      <c r="K915">
        <f>HYPERLINK("https://raw.githubusercontent.com/marcosmapl/dataset_imigrantes/main/noticias_filtered/g1/venezuelanos/2020/07_ago/html/g1_43d9d236-231d-11ed-b24f-6dbe51e79fca_3493.html", "HTML")</f>
        <v/>
      </c>
      <c r="L915">
        <f>HYPERLINK("https://raw.githubusercontent.com/marcosmapl/dataset_imigrantes/main/noticias_filtered/g1/venezuelanos/2020/07_ago/txt/g1_43d9d236-231d-11ed-b24f-6dbe51e79fca_3493.txt", "TXT")</f>
        <v/>
      </c>
    </row>
    <row r="916">
      <c r="A916" s="1" t="n">
        <v>914</v>
      </c>
      <c r="B916" t="n">
        <v>2020</v>
      </c>
      <c r="C916" s="2" t="n">
        <v>44046.54870612269</v>
      </c>
      <c r="D916" t="inlineStr">
        <is>
          <t>G1</t>
        </is>
      </c>
      <c r="E916" t="inlineStr">
        <is>
          <t>VENEZUELANOS</t>
        </is>
      </c>
      <c r="F916" t="inlineStr">
        <is>
          <t>RORAIMA</t>
        </is>
      </c>
      <c r="G916" t="inlineStr">
        <is>
          <t>FABRÍCIO ARAÚJO, G1 RR — BOA VISTA</t>
        </is>
      </c>
      <c r="H916" t="inlineStr">
        <is>
          <t>VENEZUELANOS FICAM SEM REMÉDIOS PARA HIV POR CONTA DA FRONTEIRA FECHADA EM MEIO À PANDEMIA DO CORONAVÍRUS</t>
        </is>
      </c>
      <c r="I916" t="inlineStr">
        <is>
          <t>SEM FORNECIMENTO DE ANTIRRETROVIRAIS NO PAÍS GOVERNADO POR NICOLÁS MADURO, VENEZUELANOS COM HIV ENCONTRARAM NO SUS A CHANCE DE CONSEGUIR TRATAMENTO. NO ENTANTO, COM A FRONTEIRA FECHADA HÁ QUATRO MESES, A FALTA DE REMÉDIOS COMEÇA A ASSOMBRAR QUEM VIVE NO PAÍS VIZINHO.</t>
        </is>
      </c>
      <c r="J916">
        <f>HYPERLINK("https://g1.globo.com/rr/roraima/noticia/2020/08/03/venezuelanos-ficam-sem-remedios-para-hiv-por-conta-da-fronteira-fechada-em-meio-a-pandemia-do-coronavirus.ghtml", "URL")</f>
        <v/>
      </c>
      <c r="K916">
        <f>HYPERLINK("https://raw.githubusercontent.com/marcosmapl/dataset_imigrantes/main/noticias_filtered/g1/venezuelanos/2020/07_ago/html/g1_f76829be-2323-11ed-b24f-6dbe51e79fca_3839.html", "HTML")</f>
        <v/>
      </c>
      <c r="L916">
        <f>HYPERLINK("https://raw.githubusercontent.com/marcosmapl/dataset_imigrantes/main/noticias_filtered/g1/venezuelanos/2020/07_ago/txt/g1_f76829be-2323-11ed-b24f-6dbe51e79fca_3839.txt", "TXT")</f>
        <v/>
      </c>
    </row>
    <row r="917">
      <c r="A917" s="1" t="n">
        <v>915</v>
      </c>
      <c r="B917" t="n">
        <v>2020</v>
      </c>
      <c r="C917" s="2" t="n">
        <v>44045.83678070602</v>
      </c>
      <c r="D917" t="inlineStr">
        <is>
          <t>G1</t>
        </is>
      </c>
      <c r="E917" t="inlineStr">
        <is>
          <t>VENEZUELANOS</t>
        </is>
      </c>
      <c r="F917" t="inlineStr">
        <is>
          <t>RORAIMA</t>
        </is>
      </c>
      <c r="G917" t="inlineStr">
        <is>
          <t>G1 RR — BOA VISTA</t>
        </is>
      </c>
      <c r="H917" t="inlineStr">
        <is>
          <t>VOCÊ VIU? REFÉNS EM CARACARAÍ, MILITAR VENEZUELANO AMARRADO, BEBÊ RESGATADA E MAIS EM RR</t>
        </is>
      </c>
      <c r="I917" t="inlineStr">
        <is>
          <t>VEJA AS NOTÍCIAS MAIS LIDAS NO G1 RORAIMA ENTRE 26 DE JULHO A 1º DE AGOSTO.</t>
        </is>
      </c>
      <c r="J917">
        <f>HYPERLINK("https://g1.globo.com/rr/roraima/noticia/2020/08/02/voce-viu-refens-em-caracarai-militar-venezuelano-amarrado-bebe-resgatada-e-mais-em-rr.ghtml", "URL")</f>
        <v/>
      </c>
      <c r="K917">
        <f>HYPERLINK("https://raw.githubusercontent.com/marcosmapl/dataset_imigrantes/main/noticias_filtered/g1/venezuelanos/2020/07_ago/html/g1_5ee11a76-231d-11ed-b24f-6dbe51e79fca_3499.html", "HTML")</f>
        <v/>
      </c>
      <c r="L917">
        <f>HYPERLINK("https://raw.githubusercontent.com/marcosmapl/dataset_imigrantes/main/noticias_filtered/g1/venezuelanos/2020/07_ago/txt/g1_5ee11a76-231d-11ed-b24f-6dbe51e79fca_3499.txt", "TXT")</f>
        <v/>
      </c>
    </row>
    <row r="918">
      <c r="A918" s="1" t="n">
        <v>916</v>
      </c>
      <c r="B918" t="n">
        <v>2020</v>
      </c>
      <c r="C918" s="2" t="n">
        <v>44041.11273766204</v>
      </c>
      <c r="D918" t="inlineStr">
        <is>
          <t>G1</t>
        </is>
      </c>
      <c r="E918" t="inlineStr">
        <is>
          <t>VENEZUELANOS</t>
        </is>
      </c>
      <c r="F918" t="inlineStr">
        <is>
          <t>AMAPÁ</t>
        </is>
      </c>
      <c r="G918" t="inlineStr">
        <is>
          <t>FABIANA FIGUEIREDO, G1 AP — MACAPÁ</t>
        </is>
      </c>
      <c r="H918" t="inlineStr">
        <is>
          <t>VENEZUELANO É PRESO POR TENTATIVA DE FEMINICÍDIO APÓS ESFAQUEAR A EX-COMPANHEIRA, NO AMAPÁ</t>
        </is>
      </c>
      <c r="I918" t="inlineStr">
        <is>
          <t>CASO ACONTECEU EM CALÇOENE. POLÍCIA DIZ QUE ELE CONFESSOU AUTORIA E CUMPRE PRISÃO PREVENTIVA.</t>
        </is>
      </c>
      <c r="J918">
        <f>HYPERLINK("https://g1.globo.com/ap/amapa/noticia/2020/07/28/venezuelano-e-preso-por-tentativa-de-feminicidio-apos-esfaquear-a-ex-companheira-no-amapa.ghtml", "URL")</f>
        <v/>
      </c>
      <c r="K918">
        <f>HYPERLINK("https://raw.githubusercontent.com/marcosmapl/dataset_imigrantes/main/noticias_filtered/g1/venezuelanos/2020/06_jul/html/g1_14a5ea66-2315-11ed-b24f-6dbe51e79fca_3065.html", "HTML")</f>
        <v/>
      </c>
      <c r="L918">
        <f>HYPERLINK("https://raw.githubusercontent.com/marcosmapl/dataset_imigrantes/main/noticias_filtered/g1/venezuelanos/2020/06_jul/txt/g1_14a5ea66-2315-11ed-b24f-6dbe51e79fca_3065.txt", "TXT")</f>
        <v/>
      </c>
    </row>
    <row r="919">
      <c r="A919" s="1" t="n">
        <v>917</v>
      </c>
      <c r="B919" t="n">
        <v>2020</v>
      </c>
      <c r="C919" s="2" t="n">
        <v>44040.90377737269</v>
      </c>
      <c r="D919" t="inlineStr">
        <is>
          <t>G1</t>
        </is>
      </c>
      <c r="E919" t="inlineStr">
        <is>
          <t>VENEZUELANOS</t>
        </is>
      </c>
      <c r="F919" t="inlineStr">
        <is>
          <t>RORAIMA</t>
        </is>
      </c>
      <c r="G919" t="inlineStr">
        <is>
          <t>POLYANA GIRARDI, G1 RR — BOA VISTA</t>
        </is>
      </c>
      <c r="H919" t="inlineStr">
        <is>
          <t>DPU RECOMENDA QUE GOVERNO DE RR APAGUE VÍDEOS DE REDES SOCIAIS POR DISCRIMINAR VENEZUELANOS</t>
        </is>
      </c>
      <c r="I919" t="inlineStr">
        <is>
          <t>DEFENSORIA PÚBLICA DA UNIÃO ENTENDE QUE VÍDEO COM ORIENTAÇÕES SOBRE CORONAVÍRUS DISCRIMINA VENEZUELANOS AO DIFERENCIAR ATENDIMENTO DADO A BRASILEIROS.</t>
        </is>
      </c>
      <c r="J919">
        <f>HYPERLINK("https://g1.globo.com/rr/roraima/noticia/2020/07/28/dpu-recomenda-que-governo-de-rr-apague-videos-de-redes-sociais-por-discriminar-venezuelanos.ghtml", "URL")</f>
        <v/>
      </c>
      <c r="K919">
        <f>HYPERLINK("https://raw.githubusercontent.com/marcosmapl/dataset_imigrantes/main/noticias_filtered/g1/venezuelanos/2020/06_jul/html/g1_e2693a84-231a-11ed-b24f-6dbe51e79fca_3359.html", "HTML")</f>
        <v/>
      </c>
      <c r="L919">
        <f>HYPERLINK("https://raw.githubusercontent.com/marcosmapl/dataset_imigrantes/main/noticias_filtered/g1/venezuelanos/2020/06_jul/txt/g1_e2693a84-231a-11ed-b24f-6dbe51e79fca_3359.txt", "TXT")</f>
        <v/>
      </c>
    </row>
    <row r="920">
      <c r="A920" s="1" t="n">
        <v>918</v>
      </c>
      <c r="B920" t="n">
        <v>2020</v>
      </c>
      <c r="C920" s="2" t="n">
        <v>44040.85277969907</v>
      </c>
      <c r="D920" t="inlineStr">
        <is>
          <t>G1</t>
        </is>
      </c>
      <c r="E920" t="inlineStr">
        <is>
          <t>VENEZUELANOS</t>
        </is>
      </c>
      <c r="F920" t="inlineStr">
        <is>
          <t>RORAIMA</t>
        </is>
      </c>
      <c r="G920" t="inlineStr">
        <is>
          <t>VALÉRIA OLIVEIRA, G1 RR — BOA VISTA</t>
        </is>
      </c>
      <c r="H920" t="inlineStr">
        <is>
          <t>EXÉRCITO ENCONTRA MILITAR VENEZUELANO AMARRADO EM PACARAIMA APÓS CONFUSÃO EM TRILHA CLANDESTINA</t>
        </is>
      </c>
      <c r="I920" t="inlineStr">
        <is>
          <t>MINISTÉRIO DA DEFESA INFORMOU QUE MILITAR VENEZUELANO FOI AMARRADO E DEIXADO DO LADO BRASILEIRO; ELE FOI ENTREGUE EM SEGURANÇA DE VOLTA AO TERRITÓRIO VENEZUELANO. CONFUSÃO FOI NA NOITE DESSA SEGUNDA-FEIRA (27) QUANDO GRUPO TENTOU ENTRAR NA VENEZUELA POR ROTA CLANDESTINA QUE LIGA O PAÍS A PACARAIMA, NO NORTE DE RORAIMA.</t>
        </is>
      </c>
      <c r="J920">
        <f>HYPERLINK("https://g1.globo.com/rr/roraima/noticia/2020/07/28/exercito-encontra-militar-venezuelano-amarrado-em-pacaraima-apos-confusao-em-trilha-clandestina.ghtml", "URL")</f>
        <v/>
      </c>
      <c r="K920">
        <f>HYPERLINK("https://raw.githubusercontent.com/marcosmapl/dataset_imigrantes/main/noticias_filtered/g1/venezuelanos/2020/06_jul/html/g1_b5e3ce26-230a-11ed-b24f-6dbe51e79fca_2522.html", "HTML")</f>
        <v/>
      </c>
      <c r="L920">
        <f>HYPERLINK("https://raw.githubusercontent.com/marcosmapl/dataset_imigrantes/main/noticias_filtered/g1/venezuelanos/2020/06_jul/txt/g1_b5e3ce26-230a-11ed-b24f-6dbe51e79fca_2522.txt", "TXT")</f>
        <v/>
      </c>
    </row>
    <row r="921">
      <c r="A921" s="1" t="n">
        <v>919</v>
      </c>
      <c r="B921" t="n">
        <v>2020</v>
      </c>
      <c r="C921" s="2" t="n">
        <v>44040.55711724537</v>
      </c>
      <c r="D921" t="inlineStr">
        <is>
          <t>G1</t>
        </is>
      </c>
      <c r="E921" t="inlineStr">
        <is>
          <t>VENEZUELANOS</t>
        </is>
      </c>
      <c r="F921" t="inlineStr">
        <is>
          <t>AMAZONAS</t>
        </is>
      </c>
      <c r="G921" t="inlineStr">
        <is>
          <t>ELIANA NASCIMENTO, G1 AM</t>
        </is>
      </c>
      <c r="H921" t="inlineStr">
        <is>
          <t>VENDEDOR AMBULANTE MORRE APÓS SER BALEADO COM TIROS DE FUZIL EM BECO NO CENTRO DE MANAUS</t>
        </is>
      </c>
      <c r="I921" t="inlineStr">
        <is>
          <t>VÍTIMA ERA DE NACIONALIDADE VENEZUELANA. FAMÍLIA INFORMOU PARA A POLÍCIA QUE HOMEM POSSA TER SIDO ASSASSINADO POR ENGANO.</t>
        </is>
      </c>
      <c r="J921">
        <f>HYPERLINK("https://g1.globo.com/am/amazonas/noticia/2020/07/28/vendedor-ambulante-morre-apos-ser-baleado-com-tiros-de-fuzil-em-beco-no-centro-de-manaus.ghtml", "URL")</f>
        <v/>
      </c>
      <c r="K921">
        <f>HYPERLINK("https://raw.githubusercontent.com/marcosmapl/dataset_imigrantes/main/noticias_filtered/g1/venezuelanos/2020/06_jul/html/g1_360eb74e-230d-11ed-b24f-6dbe51e79fca_2673.html", "HTML")</f>
        <v/>
      </c>
      <c r="L921">
        <f>HYPERLINK("https://raw.githubusercontent.com/marcosmapl/dataset_imigrantes/main/noticias_filtered/g1/venezuelanos/2020/06_jul/txt/g1_360eb74e-230d-11ed-b24f-6dbe51e79fca_2673.txt", "TXT")</f>
        <v/>
      </c>
    </row>
    <row r="922">
      <c r="A922" s="1" t="n">
        <v>920</v>
      </c>
      <c r="B922" t="n">
        <v>2020</v>
      </c>
      <c r="C922" s="2" t="n">
        <v>44039.91561342592</v>
      </c>
      <c r="D922" t="inlineStr">
        <is>
          <t>A CRITICA</t>
        </is>
      </c>
      <c r="E922" t="inlineStr">
        <is>
          <t>VENEZUELANOS</t>
        </is>
      </c>
      <c r="F922" t="inlineStr">
        <is>
          <t>MANAUS</t>
        </is>
      </c>
      <c r="G922" t="inlineStr">
        <is>
          <t>PORTAL A CRÍTICA</t>
        </is>
      </c>
      <c r="H922" t="inlineStr">
        <is>
          <t>FILMES SOBRE TRÁFICO DE PESSOAS E RODAS DE CONVERSA OCORREM EM MANAUS</t>
        </is>
      </c>
      <c r="I922" t="inlineStr">
        <is>
          <t>PROGRAMAÇÃO INICIA NESTA SEGUNDA-FEIRA (27) E VAI ATÉ O DIA 30 DE JULHO. INICIATIVA FAZ PARTE DA CAMPANHA NACIONAL “CORAÇÃO AZUL”</t>
        </is>
      </c>
      <c r="J922">
        <f>HYPERLINK("https://www.acritica.com/manaus/filmes-sobre-trafico-de-pessoas-e-rodas-de-conversa-ocorrem-em-manaus-1.35871", "URL")</f>
        <v/>
      </c>
      <c r="K922">
        <f>HYPERLINK("https://raw.githubusercontent.com/marcosmapl/dataset_imigrantes/main/noticias_filtered/a_critica/venezuelanos/2020/06_jul/html/1.35871_738.html", "HTML")</f>
        <v/>
      </c>
      <c r="L922">
        <f>HYPERLINK("https://raw.githubusercontent.com/marcosmapl/dataset_imigrantes/main/noticias_filtered/a_critica/venezuelanos/2020/06_jul/txt/1.35871_738.txt", "TXT")</f>
        <v/>
      </c>
    </row>
    <row r="923">
      <c r="A923" s="1" t="n">
        <v>921</v>
      </c>
      <c r="B923" t="n">
        <v>2020</v>
      </c>
      <c r="C923" s="2" t="n">
        <v>44035.86200415509</v>
      </c>
      <c r="D923" t="inlineStr">
        <is>
          <t>G1</t>
        </is>
      </c>
      <c r="E923" t="inlineStr">
        <is>
          <t>VENEZUELANOS</t>
        </is>
      </c>
      <c r="F923" t="inlineStr">
        <is>
          <t>GOIÁS</t>
        </is>
      </c>
      <c r="G923" t="inlineStr">
        <is>
          <t>VITOR SANTANA, G1 GO</t>
        </is>
      </c>
      <c r="H923" t="inlineStr">
        <is>
          <t>CONSELHO TUTELAR FAZ AÇÃO PARA EVITAR QUE CRIANÇAS VENEZUELANAS FIQUEM PEDINDO DINHEIRO EM RUAS DE GOIÂNIA</t>
        </is>
      </c>
      <c r="I923" t="inlineStr">
        <is>
          <t>FORAM ENCONTRADAS MAIS DE 100 PESSOAS VIVENDO EM UM MESMO HOTEL EM CONDIÇÕES PRECÁRIAS. SEGUNDO CONSELHEIROS, ELES VÃO PARA OS SINALEIROS E VOLTAM DE TÁXI PARA O ABRIGO.</t>
        </is>
      </c>
      <c r="J923">
        <f>HYPERLINK("https://g1.globo.com/go/goias/noticia/2020/07/23/conselho-tutelar-faz-acao-para-evitar-que-criancas-venezuelanas-fiquem-pedindo-dinheiro-em-ruas-de-goiania.ghtml", "URL")</f>
        <v/>
      </c>
      <c r="K923">
        <f>HYPERLINK("https://raw.githubusercontent.com/marcosmapl/dataset_imigrantes/main/noticias_filtered/g1/venezuelanos/2020/06_jul/html/g1_72edc580-2315-11ed-b24f-6dbe51e79fca_3085.html", "HTML")</f>
        <v/>
      </c>
      <c r="L923">
        <f>HYPERLINK("https://raw.githubusercontent.com/marcosmapl/dataset_imigrantes/main/noticias_filtered/g1/venezuelanos/2020/06_jul/txt/g1_72edc580-2315-11ed-b24f-6dbe51e79fca_3085.txt", "TXT")</f>
        <v/>
      </c>
    </row>
    <row r="924">
      <c r="A924" s="1" t="n">
        <v>922</v>
      </c>
      <c r="B924" t="n">
        <v>2020</v>
      </c>
      <c r="C924" s="2" t="n">
        <v>44035.79927083333</v>
      </c>
      <c r="D924" t="inlineStr">
        <is>
          <t>A CRITICA</t>
        </is>
      </c>
      <c r="E924" t="inlineStr">
        <is>
          <t>VENEZUELANOS</t>
        </is>
      </c>
      <c r="F924" t="inlineStr">
        <is>
          <t>SAUDE</t>
        </is>
      </c>
      <c r="G924" t="inlineStr">
        <is>
          <t>PORTAL A CRÍTICA</t>
        </is>
      </c>
      <c r="H924" t="inlineStr">
        <is>
          <t>EM SÃO GABRIEL, MSF COMBATE COVID-19 RESPEITANDO RITUAIS INDÍGENAS</t>
        </is>
      </c>
      <c r="I924" t="inlineStr">
        <is>
          <t>EM 13 DIAS DE FUNCIONAMENTO DO CENTRO DE ACOLHIMENTO DO MÉDICOS SEM FRONTEIRAS, A ENFERMARIA FEZ 31 ATENDIMENTOS E INTERNOU 10 PACIENTES, SENDO OITO INDÍGENAS DAS ETNIAS BARÉ, BANIWA, TUKANO E DESANO.</t>
        </is>
      </c>
      <c r="J924">
        <f>HYPERLINK("https://www.acritica.com/saude/em-s-o-gabriel-msf-combate-covid-19-respeitando-rituais-indigenas-1.35954", "URL")</f>
        <v/>
      </c>
      <c r="K924">
        <f>HYPERLINK("https://raw.githubusercontent.com/marcosmapl/dataset_imigrantes/main/noticias_filtered/a_critica/venezuelanos/2020/06_jul/html/1.35954_1285.html", "HTML")</f>
        <v/>
      </c>
      <c r="L924">
        <f>HYPERLINK("https://raw.githubusercontent.com/marcosmapl/dataset_imigrantes/main/noticias_filtered/a_critica/venezuelanos/2020/06_jul/txt/1.35954_1285.txt", "TXT")</f>
        <v/>
      </c>
    </row>
    <row r="925">
      <c r="A925" s="1" t="n">
        <v>923</v>
      </c>
      <c r="B925" t="n">
        <v>2020</v>
      </c>
      <c r="C925" s="2" t="n">
        <v>44035.60536251157</v>
      </c>
      <c r="D925" t="inlineStr">
        <is>
          <t>G1</t>
        </is>
      </c>
      <c r="E925" t="inlineStr">
        <is>
          <t>VENEZUELANOS</t>
        </is>
      </c>
      <c r="F925" t="inlineStr">
        <is>
          <t>MUNDO</t>
        </is>
      </c>
      <c r="G925" t="inlineStr">
        <is>
          <t>RFI</t>
        </is>
      </c>
      <c r="H925" t="inlineStr">
        <is>
          <t>A MANGA ESTÁ VIRANDO O ALIMENTO BÁSICO DOS VENEZUELANOS MAIS POBRES</t>
        </is>
      </c>
      <c r="I925" t="inlineStr">
        <is>
          <t>UMA DE CADA QUATRO FAMÍLIAS DA VENEZUELA VIVE A ANGÚSTIA DE NÃO TER ALIMENTOS POR CAUSA DA REDUÇÃO DO PODER DE COMPRA. ELAS TÊM RECORRIDA ÀS ÁRVORES DE MANGA NA RUA PARA CONSEGUIR SE ALIMENTAR.</t>
        </is>
      </c>
      <c r="J925">
        <f>HYPERLINK("https://g1.globo.com/mundo/noticia/2020/07/23/a-manga-esta-virando-o-alimento-basico-dos-venezuelanos-mais-pobres.ghtml", "URL")</f>
        <v/>
      </c>
      <c r="K925">
        <f>HYPERLINK("https://raw.githubusercontent.com/marcosmapl/dataset_imigrantes/main/noticias_filtered/g1/venezuelanos/2020/06_jul/html/g1_a6caaf0a-232c-11ed-b24f-6dbe51e79fca_4320.html", "HTML")</f>
        <v/>
      </c>
      <c r="L925">
        <f>HYPERLINK("https://raw.githubusercontent.com/marcosmapl/dataset_imigrantes/main/noticias_filtered/g1/venezuelanos/2020/06_jul/txt/g1_a6caaf0a-232c-11ed-b24f-6dbe51e79fca_4320.txt", "TXT")</f>
        <v/>
      </c>
    </row>
    <row r="926">
      <c r="A926" s="1" t="n">
        <v>924</v>
      </c>
      <c r="B926" t="n">
        <v>2020</v>
      </c>
      <c r="C926" s="2" t="n">
        <v>44034.70183515046</v>
      </c>
      <c r="D926" t="inlineStr">
        <is>
          <t>G1</t>
        </is>
      </c>
      <c r="E926" t="inlineStr">
        <is>
          <t>HAITIANOS</t>
        </is>
      </c>
      <c r="F926" t="inlineStr">
        <is>
          <t>BEM ESTAR</t>
        </is>
      </c>
      <c r="G926" t="inlineStr">
        <is>
          <t>BBC</t>
        </is>
      </c>
      <c r="H926" t="inlineStr">
        <is>
          <t>COVID-19 SE ALASTRA EM FRIGORÍFICOS E PÕE BRASILEIROS E IMIGRANTES EM RISCO</t>
        </is>
      </c>
      <c r="I926" t="inlineStr">
        <is>
          <t>EM SITUAÇÃO DE GRANDE VULNERABILIDADE SOCIAL, ESTRANGEIROS GERALMENTE DIVIDEM O DOMICÍLIO COM VÁRIOS COLEGAS PARA REDUZIR OS CUSTOS E TÊM DIFICULDADE PARA ENTENDER AS RECOMENDAÇÕES EM PORTUGUÊS.</t>
        </is>
      </c>
      <c r="J926">
        <f>HYPERLINK("https://g1.globo.com/bemestar/coronavirus/noticia/2020/07/22/covid-19-se-alastra-em-frigorificos-e-poe-brasileiros-e-imigrantes-em-risco.ghtml", "URL")</f>
        <v/>
      </c>
      <c r="K926">
        <f>HYPERLINK("https://raw.githubusercontent.com/marcosmapl/dataset_imigrantes/main/noticias_filtered/g1/haitianos/2020/06_jul/html/g1_60ae81a4-2318-11ed-b24f-6dbe51e79fca_3256.html", "HTML")</f>
        <v/>
      </c>
      <c r="L926">
        <f>HYPERLINK("https://raw.githubusercontent.com/marcosmapl/dataset_imigrantes/main/noticias_filtered/g1/haitianos/2020/06_jul/txt/g1_60ae81a4-2318-11ed-b24f-6dbe51e79fca_3256.txt", "TXT")</f>
        <v/>
      </c>
    </row>
    <row r="927">
      <c r="A927" s="1" t="n">
        <v>925</v>
      </c>
      <c r="B927" t="n">
        <v>2020</v>
      </c>
      <c r="C927" s="2" t="n">
        <v>44034.67837962963</v>
      </c>
      <c r="D927" t="inlineStr">
        <is>
          <t>A CRITICA</t>
        </is>
      </c>
      <c r="E927" t="inlineStr">
        <is>
          <t>VENEZUELANOS</t>
        </is>
      </c>
      <c r="F927" t="inlineStr"/>
      <c r="G927" t="inlineStr">
        <is>
          <t>PORTAL A CRÍTICA</t>
        </is>
      </c>
      <c r="H927" t="inlineStr">
        <is>
          <t>VÍTIMAS DE CRIMES HEDIONDOS RECEBEM ATENDIMENTO PSICOSSOCIAL EM DELEGACIA</t>
        </is>
      </c>
      <c r="I927" t="inlineStr">
        <is>
          <t>O SERVIÇO CONTA COM PSICÓLOGO E ASSISTENTE SOCIAL E OFERECE UMA ESCUTA ESPECIALIZADA, FORNECENDO UMA ESPÉCIE DE ACOLHIMENTO ÀS VÍTIMAS, CONFORME PRECONIZA O ESTATUTO DA CRIANÇA E DO ADOLESCENTE (ECA)</t>
        </is>
      </c>
      <c r="J927">
        <f>HYPERLINK("https://www.acritica.com/vitimas-de-crimes-hediondos-recebem-atendimento-psicossocial-em-delegacia-1.37077", "URL")</f>
        <v/>
      </c>
      <c r="K927">
        <f>HYPERLINK("https://raw.githubusercontent.com/marcosmapl/dataset_imigrantes/main/noticias_filtered/a_critica/venezuelanos/2020/06_jul/html/1.37077_599.html", "HTML")</f>
        <v/>
      </c>
      <c r="L927">
        <f>HYPERLINK("https://raw.githubusercontent.com/marcosmapl/dataset_imigrantes/main/noticias_filtered/a_critica/venezuelanos/2020/06_jul/txt/1.37077_599.txt", "TXT")</f>
        <v/>
      </c>
    </row>
    <row r="928">
      <c r="A928" s="1" t="n">
        <v>926</v>
      </c>
      <c r="B928" t="n">
        <v>2020</v>
      </c>
      <c r="C928" s="2" t="n">
        <v>44033.45069444444</v>
      </c>
      <c r="D928" t="inlineStr">
        <is>
          <t>PORTAL AMAZONIA</t>
        </is>
      </c>
      <c r="E928" t="inlineStr">
        <is>
          <t>HAITIANOS</t>
        </is>
      </c>
      <c r="F928" t="inlineStr">
        <is>
          <t>AMAZONAS,NOTÍCIAS,EDUCAÇÃO</t>
        </is>
      </c>
      <c r="G928" t="inlineStr">
        <is>
          <t>PORTAL AMAZÔNIA, COM INFORMAÇÕES DA PREFEITURA DE MANAUS</t>
        </is>
      </c>
      <c r="H928" t="inlineStr">
        <is>
          <t>EDUCADORA AMAZONENSE É UMA DAS VENCEDORAS DO ‘EDUCADOR NOTA 10’</t>
        </is>
      </c>
      <c r="I928" t="inlineStr">
        <is>
          <t>O RESULTADO FOI ANUNCIADO NA MANHÃ DESTA SEGUNDA-FEIRA, 20, NO PROGRAMA ENCONTRO COM A FÁTIMA BERNARDES, DA REDE GLOBO.</t>
        </is>
      </c>
      <c r="J928">
        <f>HYPERLINK("https://portalamazonia.com/noticias/educadora-amazonense-e-uma-das-vencedoras-do-educador-nota-10", "URL")</f>
        <v/>
      </c>
      <c r="K928">
        <f>HYPERLINK("https://raw.githubusercontent.com/marcosmapl/dataset_imigrantes/main/noticias_filtered/portal_amazonia/haitianos/2020/06_jul/html/27602.39320_1529.html", "HTML")</f>
        <v/>
      </c>
      <c r="L928">
        <f>HYPERLINK("https://raw.githubusercontent.com/marcosmapl/dataset_imigrantes/main/noticias_filtered/portal_amazonia/haitianos/2020/06_jul/txt/27602.39320_1529.txt", "TXT")</f>
        <v/>
      </c>
    </row>
    <row r="929">
      <c r="A929" s="1" t="n">
        <v>927</v>
      </c>
      <c r="B929" t="n">
        <v>2020</v>
      </c>
      <c r="C929" s="2" t="n">
        <v>44032.90518518518</v>
      </c>
      <c r="D929" t="inlineStr">
        <is>
          <t>A CRITICA</t>
        </is>
      </c>
      <c r="E929" t="inlineStr">
        <is>
          <t>HAITIANOS</t>
        </is>
      </c>
      <c r="F929" t="inlineStr">
        <is>
          <t>MANAUS</t>
        </is>
      </c>
      <c r="G929" t="inlineStr">
        <is>
          <t>PORTAL A CRÍTICA</t>
        </is>
      </c>
      <c r="H929" t="inlineStr">
        <is>
          <t>PROFESSORA DE MANAUS VENCE CATEGORIA DE GESTÃO ESCOLAR DO PRÊMIO EDUCADOR NOTA 10</t>
        </is>
      </c>
      <c r="I929" t="inlineStr">
        <is>
          <t>LÚCIA CRISTINA CORTEZ BARROS SANTOS ATUA HÁ 15 ANOS NA ESCOLA MUNICIPAL WALDIR GARCIA E DESENVOLVE PROJETO DE INCLUSÃO NO AMBIENTE ESCOLAR</t>
        </is>
      </c>
      <c r="J929">
        <f>HYPERLINK("https://www.acritica.com/manaus/professora-de-manaus-vence-categoria-de-gest-o-escolar-do-premio-educador-nota-10-1.36115", "URL")</f>
        <v/>
      </c>
      <c r="K929">
        <f>HYPERLINK("https://raw.githubusercontent.com/marcosmapl/dataset_imigrantes/main/noticias_filtered/a_critica/haitianos/2020/06_jul/html/1.36115_1052.html", "HTML")</f>
        <v/>
      </c>
      <c r="L929">
        <f>HYPERLINK("https://raw.githubusercontent.com/marcosmapl/dataset_imigrantes/main/noticias_filtered/a_critica/haitianos/2020/06_jul/txt/1.36115_1052.txt", "TXT")</f>
        <v/>
      </c>
    </row>
    <row r="930">
      <c r="A930" s="1" t="n">
        <v>928</v>
      </c>
      <c r="B930" t="n">
        <v>2020</v>
      </c>
      <c r="C930" s="2" t="n">
        <v>44030.77692015046</v>
      </c>
      <c r="D930" t="inlineStr">
        <is>
          <t>G1</t>
        </is>
      </c>
      <c r="E930" t="inlineStr">
        <is>
          <t>HAITIANOS</t>
        </is>
      </c>
      <c r="F930" t="inlineStr">
        <is>
          <t>MUNDO</t>
        </is>
      </c>
      <c r="G930" t="inlineStr">
        <is>
          <t>BBC</t>
        </is>
      </c>
      <c r="H930" t="inlineStr">
        <is>
          <t>COMO É SER NEGRO NO JAPÃO, PAÍS ONDE 98% DA POPULAÇÃO É NATIVA</t>
        </is>
      </c>
      <c r="I930" t="inlineStr">
        <is>
          <t>NEGROS RELATAM À BBC NEWS BRASIL COTIDIANO EM PAÍS FECHADO A ESTRANGEIROS; RACISMO NÃO É DESCARADO, MAS EXISTE, DIZEM ELES.</t>
        </is>
      </c>
      <c r="J930">
        <f>HYPERLINK("https://g1.globo.com/mundo/noticia/2020/07/18/como-e-ser-negro-no-japao-pais-onde-98-da-populacao-e-nativa.ghtml", "URL")</f>
        <v/>
      </c>
      <c r="K930">
        <f>HYPERLINK("https://raw.githubusercontent.com/marcosmapl/dataset_imigrantes/main/noticias_filtered/g1/haitianos/2020/06_jul/html/g1_ac24285c-2325-11ed-b24f-6dbe51e79fca_3927.html", "HTML")</f>
        <v/>
      </c>
      <c r="L930">
        <f>HYPERLINK("https://raw.githubusercontent.com/marcosmapl/dataset_imigrantes/main/noticias_filtered/g1/haitianos/2020/06_jul/txt/g1_ac24285c-2325-11ed-b24f-6dbe51e79fca_3927.txt", "TXT")</f>
        <v/>
      </c>
    </row>
    <row r="931">
      <c r="A931" s="1" t="n">
        <v>929</v>
      </c>
      <c r="B931" t="n">
        <v>2020</v>
      </c>
      <c r="C931" s="2" t="n">
        <v>44029.66563553241</v>
      </c>
      <c r="D931" t="inlineStr">
        <is>
          <t>G1</t>
        </is>
      </c>
      <c r="E931" t="inlineStr">
        <is>
          <t>VENEZUELANOS</t>
        </is>
      </c>
      <c r="F931" t="inlineStr">
        <is>
          <t>MUNDO</t>
        </is>
      </c>
      <c r="G931" t="inlineStr">
        <is>
          <t>BBC</t>
        </is>
      </c>
      <c r="H931" t="inlineStr">
        <is>
          <t>CORONAVÍRUS: PANDEMIA AGRAVA FOME E DESESPERO NA VENEZUELA</t>
        </is>
      </c>
      <c r="I931" t="inlineStr">
        <is>
          <t>DE ACORDO COM A ÚLTIMA PESQUISA QUE MEDE OS PADRÕES DE VIDA NA VENEZUELA, A DESNUTRIÇÃO DE CRIANÇAS VENEZUELANAS COM MENOS DE CINCO ANOS DE IDADE JÁ É COMPARÁVEL À DOS PAÍSES MAIS POBRES DO MUNDO.</t>
        </is>
      </c>
      <c r="J931">
        <f>HYPERLINK("https://g1.globo.com/mundo/noticia/2020/07/17/coronavirus-pandemia-agrava-fome-e-desespero-na-venezuela.ghtml", "URL")</f>
        <v/>
      </c>
      <c r="K931">
        <f>HYPERLINK("https://raw.githubusercontent.com/marcosmapl/dataset_imigrantes/main/noticias_filtered/g1/venezuelanos/2020/06_jul/html/g1_a966dc24-2323-11ed-b24f-6dbe51e79fca_3820.html", "HTML")</f>
        <v/>
      </c>
      <c r="L931">
        <f>HYPERLINK("https://raw.githubusercontent.com/marcosmapl/dataset_imigrantes/main/noticias_filtered/g1/venezuelanos/2020/06_jul/txt/g1_a966dc24-2323-11ed-b24f-6dbe51e79fca_3820.txt", "TXT")</f>
        <v/>
      </c>
    </row>
    <row r="932">
      <c r="A932" s="1" t="n">
        <v>930</v>
      </c>
      <c r="B932" t="n">
        <v>2020</v>
      </c>
      <c r="C932" s="2" t="n">
        <v>44029.52359197917</v>
      </c>
      <c r="D932" t="inlineStr">
        <is>
          <t>G1</t>
        </is>
      </c>
      <c r="E932" t="inlineStr">
        <is>
          <t>VENEZUELANOS</t>
        </is>
      </c>
      <c r="F932" t="inlineStr">
        <is>
          <t>PEQUENAS EMPRESAS &amp; GRANDES NEGÓCIOS</t>
        </is>
      </c>
      <c r="G932" t="inlineStr"/>
      <c r="H932" t="inlineStr">
        <is>
          <t>APÓS PERDER EMPREGO, VENEZUELANO QUE VIVE NO BRASIL SUSTENTA A FAMÍLIA VENDENDO PASTEL TÍPICO DO SEU PAÍS</t>
        </is>
      </c>
      <c r="I932" t="inlineStr">
        <is>
          <t>EMPRESÁRIO CONQUISTOU OS CLIENTES AO VENDER O TEQUEÑO, A PREÇO DE CUSTO, DURANTE DEZ DIAS. ELE TAMBÉM CRIOU NOVOS RECHEIOS PARA AGRADAR O PALADAR DOS BRASILEIROS, COMO GOIABADA E CALABRESA.</t>
        </is>
      </c>
      <c r="J932">
        <f>HYPERLINK("https://g1.globo.com/economia/pme/pequenas-empresas-grandes-negocios/noticia/2020/07/17/apos-perder-emprego-venezuelano-que-vive-no-brasil-sustenta-a-familia-vendendo-pastel-tipico-do-seu-pais.ghtml", "URL")</f>
        <v/>
      </c>
      <c r="K932">
        <f>HYPERLINK("https://raw.githubusercontent.com/marcosmapl/dataset_imigrantes/main/noticias_filtered/g1/venezuelanos/2020/06_jul/html/g1_73d71950-2316-11ed-b24f-6dbe51e79fca_3148.html", "HTML")</f>
        <v/>
      </c>
      <c r="L932">
        <f>HYPERLINK("https://raw.githubusercontent.com/marcosmapl/dataset_imigrantes/main/noticias_filtered/g1/venezuelanos/2020/06_jul/txt/g1_73d71950-2316-11ed-b24f-6dbe51e79fca_3148.txt", "TXT")</f>
        <v/>
      </c>
    </row>
    <row r="933">
      <c r="A933" s="1" t="n">
        <v>931</v>
      </c>
      <c r="B933" t="n">
        <v>2020</v>
      </c>
      <c r="C933" s="2" t="n">
        <v>44028.97173070602</v>
      </c>
      <c r="D933" t="inlineStr">
        <is>
          <t>G1</t>
        </is>
      </c>
      <c r="E933" t="inlineStr">
        <is>
          <t>VENEZUELANOS</t>
        </is>
      </c>
      <c r="F933" t="inlineStr">
        <is>
          <t>ACRE</t>
        </is>
      </c>
      <c r="G933" t="inlineStr">
        <is>
          <t>ALCINETE GADELHA, G1 AC — RIO BRANCO</t>
        </is>
      </c>
      <c r="H933" t="inlineStr">
        <is>
          <t>EM TRÊS MESES, SECRETARIA IDENTIFICA MAIS DE 45 CRIANÇAS VENEZUELANAS EM SEMÁFOROS DE RIO BRANCO</t>
        </is>
      </c>
      <c r="I933" t="inlineStr">
        <is>
          <t>SECRETARIA FAZ ORIENTAÇÕES ÀS FAMÍLIAS SOBRE LEGISLAÇÃO BRASILEIRA E FAZ ENCAMINHAMENTOS PARA ATENDIMENTOS EM SAÚDE OU RETIRADAS DE DOCUMENTAÇÃO, CONFORME DEMANDA DA FAMÍLIA.</t>
        </is>
      </c>
      <c r="J933">
        <f>HYPERLINK("https://g1.globo.com/ac/acre/noticia/2020/07/16/em-tres-meses-secretaria-identifica-mais-de-45-criancas-venezuelanas-em-semaforos-de-rio-branco.ghtml", "URL")</f>
        <v/>
      </c>
      <c r="K933">
        <f>HYPERLINK("https://raw.githubusercontent.com/marcosmapl/dataset_imigrantes/main/noticias_filtered/g1/venezuelanos/2020/06_jul/html/g1_0343c040-231f-11ed-b24f-6dbe51e79fca_3595.html", "HTML")</f>
        <v/>
      </c>
      <c r="L933">
        <f>HYPERLINK("https://raw.githubusercontent.com/marcosmapl/dataset_imigrantes/main/noticias_filtered/g1/venezuelanos/2020/06_jul/txt/g1_0343c040-231f-11ed-b24f-6dbe51e79fca_3595.txt", "TXT")</f>
        <v/>
      </c>
    </row>
    <row r="934">
      <c r="A934" s="1" t="n">
        <v>932</v>
      </c>
      <c r="B934" t="n">
        <v>2020</v>
      </c>
      <c r="C934" s="2" t="n">
        <v>44028.87222222222</v>
      </c>
      <c r="D934" t="inlineStr">
        <is>
          <t>A CRITICA</t>
        </is>
      </c>
      <c r="E934" t="inlineStr">
        <is>
          <t>VENEZUELANOS</t>
        </is>
      </c>
      <c r="F934" t="inlineStr">
        <is>
          <t>MANAUS</t>
        </is>
      </c>
      <c r="G934" t="inlineStr">
        <is>
          <t>PORTAL A CRÍTICA</t>
        </is>
      </c>
      <c r="H934" t="inlineStr">
        <is>
          <t>NOVO ABRIGO APRIMORA ACOLHIMENTO DE REFUGIADOS E MIGRANTES VENEZUELANOS EM MANAUS</t>
        </is>
      </c>
      <c r="I934" t="inlineStr">
        <is>
          <t>COM APOIO DAS NAÇÕES UNIDAS, PREFEITURA REALOCA 158 INDÍGENAS DA ETNIA WARAO PARA ESPAÇO MAIS AMPLO E SEGURO. REALOCAÇÕES SEGUEM ATÉ ACOLHIMENTO DA TOTALIDADE DA POPULAÇÃO INDÍGENA REFUGIADA E MIGRANTE QUE VIVE NA CAPITAL AMAZONENSE</t>
        </is>
      </c>
      <c r="J934">
        <f>HYPERLINK("https://www.acritica.com/manaus/novo-abrigo-aprimora-acolhimento-de-refugiados-e-migrantes-venezuelanos-em-manaus-1.37297", "URL")</f>
        <v/>
      </c>
      <c r="K934">
        <f>HYPERLINK("https://raw.githubusercontent.com/marcosmapl/dataset_imigrantes/main/noticias_filtered/a_critica/venezuelanos/2020/06_jul/html/1.37297_743.html", "HTML")</f>
        <v/>
      </c>
      <c r="L934">
        <f>HYPERLINK("https://raw.githubusercontent.com/marcosmapl/dataset_imigrantes/main/noticias_filtered/a_critica/venezuelanos/2020/06_jul/txt/1.37297_743.txt", "TXT")</f>
        <v/>
      </c>
    </row>
    <row r="935">
      <c r="A935" s="1" t="n">
        <v>933</v>
      </c>
      <c r="B935" t="n">
        <v>2020</v>
      </c>
      <c r="C935" s="2" t="n">
        <v>44027.63627314815</v>
      </c>
      <c r="D935" t="inlineStr">
        <is>
          <t>A CRITICA</t>
        </is>
      </c>
      <c r="E935" t="inlineStr">
        <is>
          <t>AMBOS</t>
        </is>
      </c>
      <c r="F935" t="inlineStr">
        <is>
          <t>MANAUS</t>
        </is>
      </c>
      <c r="G935" t="inlineStr">
        <is>
          <t>PORTAL A CRÍTICA</t>
        </is>
      </c>
      <c r="H935" t="inlineStr">
        <is>
          <t>EDUCADORAS DE MANAUS SÃO FINALISTAS DO PRÊMIO EDUCADOR NOTA 10</t>
        </is>
      </c>
      <c r="I935" t="inlineStr">
        <is>
          <t>O PRÊMIO EDUCADOR NOTA 10, MAIOR E MAIS IMPORTANTE PRÊMIO DA EDUCAÇÃO BÁSICA BRASILEIRA, DIVULGOU NO DIA 8 DE JULHO SEUS FINALISTAS</t>
        </is>
      </c>
      <c r="J935">
        <f>HYPERLINK("https://www.acritica.com/manaus/educadoras-de-manaus-s-o-finalistas-do-premio-educador-nota-10-1.37320", "URL")</f>
        <v/>
      </c>
      <c r="K935">
        <f>HYPERLINK("https://raw.githubusercontent.com/marcosmapl/dataset_imigrantes/main/noticias_filtered/a_critica/ambos/2020/06_jul/html/1.37320_1154.html", "HTML")</f>
        <v/>
      </c>
      <c r="L935">
        <f>HYPERLINK("https://raw.githubusercontent.com/marcosmapl/dataset_imigrantes/main/noticias_filtered/a_critica/ambos/2020/06_jul/txt/1.37320_1154.txt", "TXT")</f>
        <v/>
      </c>
    </row>
    <row r="936">
      <c r="A936" s="1" t="n">
        <v>934</v>
      </c>
      <c r="B936" t="n">
        <v>2020</v>
      </c>
      <c r="C936" s="2" t="n">
        <v>44026.89374206019</v>
      </c>
      <c r="D936" t="inlineStr">
        <is>
          <t>G1</t>
        </is>
      </c>
      <c r="E936" t="inlineStr">
        <is>
          <t>VENEZUELANOS</t>
        </is>
      </c>
      <c r="F936" t="inlineStr">
        <is>
          <t>PIAUÍ</t>
        </is>
      </c>
      <c r="G936" t="inlineStr">
        <is>
          <t>G1 PI</t>
        </is>
      </c>
      <c r="H936" t="inlineStr">
        <is>
          <t>INDÍGENA VENEZUELANO MORRE VÍTIMA DA COVID-19 NO PIAUÍ; OUTROS 79 ESTÃO INFECTADOS</t>
        </is>
      </c>
      <c r="I936" t="inlineStr">
        <is>
          <t>ELE FOI DIAGNOSTICADO COM A DOENÇA NO DIA 11 DE JUNHO E, DESDE ENTÃO, ESTAVA INTERNADO NO HOSPITAL GETÚLIO VARGAS.</t>
        </is>
      </c>
      <c r="J936">
        <f>HYPERLINK("https://g1.globo.com/pi/piaui/noticia/2020/07/14/indigena-venezuelano-morre-vitima-da-covid-19-no-piaui-outros-78-estao-infectados.ghtml", "URL")</f>
        <v/>
      </c>
      <c r="K936">
        <f>HYPERLINK("https://raw.githubusercontent.com/marcosmapl/dataset_imigrantes/main/noticias_filtered/g1/venezuelanos/2020/06_jul/html/g1_fb5ba328-2325-11ed-b24f-6dbe51e79fca_3947.html", "HTML")</f>
        <v/>
      </c>
      <c r="L936">
        <f>HYPERLINK("https://raw.githubusercontent.com/marcosmapl/dataset_imigrantes/main/noticias_filtered/g1/venezuelanos/2020/06_jul/txt/g1_fb5ba328-2325-11ed-b24f-6dbe51e79fca_3947.txt", "TXT")</f>
        <v/>
      </c>
    </row>
    <row r="937">
      <c r="A937" s="1" t="n">
        <v>935</v>
      </c>
      <c r="B937" t="n">
        <v>2020</v>
      </c>
      <c r="C937" s="2" t="n">
        <v>44026.5000462963</v>
      </c>
      <c r="D937" t="inlineStr">
        <is>
          <t>A CRITICA</t>
        </is>
      </c>
      <c r="E937" t="inlineStr">
        <is>
          <t>VENEZUELANOS</t>
        </is>
      </c>
      <c r="F937" t="inlineStr">
        <is>
          <t>ESPORTES</t>
        </is>
      </c>
      <c r="G937" t="inlineStr">
        <is>
          <t>LEONARDO SENA</t>
        </is>
      </c>
      <c r="H937" t="inlineStr">
        <is>
          <t>BRENDA E GEOVANA RETORNAM E 'NOVO ELENCO' DO 3B SPORT CONTA COM 15 ATLETAS</t>
        </is>
      </c>
      <c r="I937" t="inlineStr">
        <is>
          <t>ANTES DA PANDEMIA COM 19 JOGADORAS, GRUPO PERDEU ATLETAS E O TREINADOR POR CONTA DO FIM DO VÍNCULO. RETORNO DA SÉRIE A2 DO BRASILEIRO AINDA NÃO TEM PREVISÃO</t>
        </is>
      </c>
      <c r="J937">
        <f>HYPERLINK("https://www.acritica.com/esportes/brenda-e-geovana-retornam-e-novo-elenco-do-3b-sport-conta-com-15-atletas-1.36289", "URL")</f>
        <v/>
      </c>
      <c r="K937">
        <f>HYPERLINK("https://raw.githubusercontent.com/marcosmapl/dataset_imigrantes/main/noticias_filtered/a_critica/venezuelanos/2020/06_jul/html/1.36289_173.html", "HTML")</f>
        <v/>
      </c>
      <c r="L937">
        <f>HYPERLINK("https://raw.githubusercontent.com/marcosmapl/dataset_imigrantes/main/noticias_filtered/a_critica/venezuelanos/2020/06_jul/txt/1.36289_173.txt", "TXT")</f>
        <v/>
      </c>
    </row>
    <row r="938">
      <c r="A938" s="1" t="n">
        <v>936</v>
      </c>
      <c r="B938" t="n">
        <v>2020</v>
      </c>
      <c r="C938" s="2" t="n">
        <v>44024.75017361111</v>
      </c>
      <c r="D938" t="inlineStr">
        <is>
          <t>A CRITICA</t>
        </is>
      </c>
      <c r="E938" t="inlineStr">
        <is>
          <t>VENEZUELANOS</t>
        </is>
      </c>
      <c r="F938" t="inlineStr">
        <is>
          <t>MANAUS</t>
        </is>
      </c>
      <c r="G938" t="inlineStr">
        <is>
          <t>PORTAL A CRÍTICA</t>
        </is>
      </c>
      <c r="H938" t="inlineStr">
        <is>
          <t>ÁGUAS DE MANAUS E UNICEF DISTRIBUEM KITS DE HIGIENE E LIMPEZA EM PALAFITAS DA CACHOEIRINHA</t>
        </is>
      </c>
      <c r="I938" t="inlineStr">
        <is>
          <t>MAIS DE 500 PESSOAS FORAM BENEFICIADAS COM A AÇÃO, RECEBENDO PRODUTOS COMO SABONETES, ÁLCOOL EM GEL, SABÃO EM PÓ, SABÃO LÍQUIDO, ÁGUA SANITÁRIA, MÁSCARAS DE TECIDO, ENTRE OUTROS</t>
        </is>
      </c>
      <c r="J938">
        <f>HYPERLINK("https://www.acritica.com/manaus/aguas-de-manaus-e-unicef-distribuem-kits-de-higiene-e-limpeza-em-palafitas-da-cachoeirinha-1.37439", "URL")</f>
        <v/>
      </c>
      <c r="K938">
        <f>HYPERLINK("https://raw.githubusercontent.com/marcosmapl/dataset_imigrantes/main/noticias_filtered/a_critica/venezuelanos/2020/06_jul/html/1.37439_1001.html", "HTML")</f>
        <v/>
      </c>
      <c r="L938">
        <f>HYPERLINK("https://raw.githubusercontent.com/marcosmapl/dataset_imigrantes/main/noticias_filtered/a_critica/venezuelanos/2020/06_jul/txt/1.37439_1001.txt", "TXT")</f>
        <v/>
      </c>
    </row>
    <row r="939">
      <c r="A939" s="1" t="n">
        <v>937</v>
      </c>
      <c r="B939" t="n">
        <v>2020</v>
      </c>
      <c r="C939" s="2" t="n">
        <v>44024.50138888889</v>
      </c>
      <c r="D939" t="inlineStr">
        <is>
          <t>A CRITICA</t>
        </is>
      </c>
      <c r="E939" t="inlineStr">
        <is>
          <t>VENEZUELANOS</t>
        </is>
      </c>
      <c r="F939" t="inlineStr">
        <is>
          <t>OPINIAO</t>
        </is>
      </c>
      <c r="G939" t="inlineStr">
        <is>
          <t>DULCE RODRIGUEZ</t>
        </is>
      </c>
      <c r="H939" t="inlineStr">
        <is>
          <t>O QUE GANHEI COM A PANDEMIA DO NOVO CORONAVIRUS?</t>
        </is>
      </c>
      <c r="I939" t="inlineStr">
        <is>
          <t>TRINTA E DOIS MESES DEPOIS DE CRUZAR A FRONTEIRA, CONSEGUI MEU PRIMEIRO EMPREGO COMO JORNALISTA E MEU REGISTRO PROFISSIONAL</t>
        </is>
      </c>
      <c r="J939">
        <f>HYPERLINK("https://www.acritica.com/opiniao/o-que-ganhei-com-a-pandemia-do-novo-coronavirus-1.216390", "URL")</f>
        <v/>
      </c>
      <c r="K939">
        <f>HYPERLINK("https://raw.githubusercontent.com/marcosmapl/dataset_imigrantes/main/noticias_filtered/a_critica/venezuelanos/2020/06_jul/html/1.216390_883.html", "HTML")</f>
        <v/>
      </c>
      <c r="L939">
        <f>HYPERLINK("https://raw.githubusercontent.com/marcosmapl/dataset_imigrantes/main/noticias_filtered/a_critica/venezuelanos/2020/06_jul/txt/1.216390_883.txt", "TXT")</f>
        <v/>
      </c>
    </row>
    <row r="940">
      <c r="A940" s="1" t="n">
        <v>938</v>
      </c>
      <c r="B940" t="n">
        <v>2020</v>
      </c>
      <c r="C940" s="2" t="n">
        <v>44023.87931738426</v>
      </c>
      <c r="D940" t="inlineStr">
        <is>
          <t>G1</t>
        </is>
      </c>
      <c r="E940" t="inlineStr">
        <is>
          <t>HAITIANOS</t>
        </is>
      </c>
      <c r="F940" t="inlineStr">
        <is>
          <t>RIO GRANDE DO SUL</t>
        </is>
      </c>
      <c r="G940" t="inlineStr">
        <is>
          <t>AUGUSTINE TIMM, G1 RS E RBS TV</t>
        </is>
      </c>
      <c r="H940" t="inlineStr">
        <is>
          <t>CASAL AJUDA HAITIANOS DESALOJADOS PELA ENCHENTE EM ARROIO DO MEIO</t>
        </is>
      </c>
      <c r="I940" t="inlineStr">
        <is>
          <t>VANESSA E ELYSÉE DOAM ROUPAS, ALIMENTOS E LAR TEMPORÁRIO PARA DEZENAS DE IMIGRANTES QUE TIVERAM AS CASAS INVADIAS PELA ÁGUA DO RIO TAQUARI. ELE VEIO DO HAITI E AJUDA OS CONTERRÂNEOS.</t>
        </is>
      </c>
      <c r="J940">
        <f>HYPERLINK("https://g1.globo.com/rs/rio-grande-do-sul/noticia/2020/07/11/casal-ajuda-haitianos-desalojados-pela-enchente-em-arroio-do-meio.ghtml", "URL")</f>
        <v/>
      </c>
      <c r="K940">
        <f>HYPERLINK("https://raw.githubusercontent.com/marcosmapl/dataset_imigrantes/main/noticias_filtered/g1/haitianos/2020/06_jul/html/g1_dd00c53a-22ed-11ed-b24f-6dbe51e79fca_1690.html", "HTML")</f>
        <v/>
      </c>
      <c r="L940">
        <f>HYPERLINK("https://raw.githubusercontent.com/marcosmapl/dataset_imigrantes/main/noticias_filtered/g1/haitianos/2020/06_jul/txt/g1_dd00c53a-22ed-11ed-b24f-6dbe51e79fca_1690.txt", "TXT")</f>
        <v/>
      </c>
    </row>
    <row r="941">
      <c r="A941" s="1" t="n">
        <v>939</v>
      </c>
      <c r="B941" t="n">
        <v>2020</v>
      </c>
      <c r="C941" s="2" t="n">
        <v>44023.69272148148</v>
      </c>
      <c r="D941" t="inlineStr">
        <is>
          <t>G1</t>
        </is>
      </c>
      <c r="E941" t="inlineStr">
        <is>
          <t>AMBOS</t>
        </is>
      </c>
      <c r="F941" t="inlineStr">
        <is>
          <t>SÃO PAULO</t>
        </is>
      </c>
      <c r="G941" t="inlineStr">
        <is>
          <t>CINTHIA TOLEDO, SP1 — SÃO PAULO</t>
        </is>
      </c>
      <c r="H941" t="inlineStr">
        <is>
          <t>PREFEITURA DE SP ABRE INSCRIÇÕES PARA CERTIFICAR EMPRESAS QUE INVESTEM EM DIVERSIDADE</t>
        </is>
      </c>
      <c r="I941" t="inlineStr">
        <is>
          <t>INSCRIÇÕES VÃO ATÉ O DIA 16 DE AGOSTO PARA RECEBER SELO DE DIREITOS HUMANOS E DIVERSIDADE. EXPECTATIVA DA PREFEITURA É DE RECEBER 200 EMPRESAS INTERESSADAS.</t>
        </is>
      </c>
      <c r="J941">
        <f>HYPERLINK("https://g1.globo.com/sp/sao-paulo/noticia/2020/07/11/prefeitura-de-sp-abre-inscricoes-para-certificar-empresas-que-investem-em-diversidade.ghtml", "URL")</f>
        <v/>
      </c>
      <c r="K941">
        <f>HYPERLINK("https://raw.githubusercontent.com/marcosmapl/dataset_imigrantes/main/noticias_filtered/g1/ambos/2020/06_jul/html/g1_09e0aaa4-2314-11ed-b24f-6dbe51e79fca_3041.html", "HTML")</f>
        <v/>
      </c>
      <c r="L941">
        <f>HYPERLINK("https://raw.githubusercontent.com/marcosmapl/dataset_imigrantes/main/noticias_filtered/g1/ambos/2020/06_jul/txt/g1_09e0aaa4-2314-11ed-b24f-6dbe51e79fca_3041.txt", "TXT")</f>
        <v/>
      </c>
    </row>
    <row r="942">
      <c r="A942" s="1" t="n">
        <v>940</v>
      </c>
      <c r="B942" t="n">
        <v>2020</v>
      </c>
      <c r="C942" s="2" t="n">
        <v>44022.60104774305</v>
      </c>
      <c r="D942" t="inlineStr">
        <is>
          <t>G1</t>
        </is>
      </c>
      <c r="E942" t="inlineStr">
        <is>
          <t>VENEZUELANOS</t>
        </is>
      </c>
      <c r="F942" t="inlineStr">
        <is>
          <t>PARAÍBA</t>
        </is>
      </c>
      <c r="G942" t="inlineStr">
        <is>
          <t>G1 PB</t>
        </is>
      </c>
      <c r="H942" t="inlineStr">
        <is>
          <t>ESCOLA DESATIVADA É ADAPTADA PARA ABRIGAR VENEZUELANOS INDÍGENAS, EM CAMPINA GRANDE</t>
        </is>
      </c>
      <c r="I942" t="inlineStr">
        <is>
          <t>GRUPO SOLICITOU À PREFEITURA UMA UNIDADE HABITACIONAL PARA QUE TODOS OS INTEGRANTES DA TRIBO PERMANECESSEM JUNTOS.</t>
        </is>
      </c>
      <c r="J942">
        <f>HYPERLINK("https://g1.globo.com/pb/paraiba/noticia/2020/07/10/escola-desativada-e-adaptada-para-abrigar-venezuelanos-indigenas-em-campina-grande.ghtml", "URL")</f>
        <v/>
      </c>
      <c r="K942">
        <f>HYPERLINK("https://raw.githubusercontent.com/marcosmapl/dataset_imigrantes/main/noticias_filtered/g1/venezuelanos/2020/06_jul/html/g1_17b8bcf8-232c-11ed-b24f-6dbe51e79fca_4285.html", "HTML")</f>
        <v/>
      </c>
      <c r="L942">
        <f>HYPERLINK("https://raw.githubusercontent.com/marcosmapl/dataset_imigrantes/main/noticias_filtered/g1/venezuelanos/2020/06_jul/txt/g1_17b8bcf8-232c-11ed-b24f-6dbe51e79fca_4285.txt", "TXT")</f>
        <v/>
      </c>
    </row>
    <row r="943">
      <c r="A943" s="1" t="n">
        <v>941</v>
      </c>
      <c r="B943" t="n">
        <v>2020</v>
      </c>
      <c r="C943" s="2" t="n">
        <v>44021.77197916667</v>
      </c>
      <c r="D943" t="inlineStr">
        <is>
          <t>A CRITICA</t>
        </is>
      </c>
      <c r="E943" t="inlineStr">
        <is>
          <t>VENEZUELANOS</t>
        </is>
      </c>
      <c r="F943" t="inlineStr">
        <is>
          <t>OPINIAO</t>
        </is>
      </c>
      <c r="G943" t="inlineStr">
        <is>
          <t>DULCE RODRIGUEZ</t>
        </is>
      </c>
      <c r="H943" t="inlineStr">
        <is>
          <t>DIA DO JORNALISTA NA VENEZUELA SUBMETIDA AO SOCIALISMO</t>
        </is>
      </c>
      <c r="I943" t="inlineStr">
        <is>
          <t>DESDE O ANO 2013 ATÉ AGORA, 67 JORNAIS DEIXARAM DE CIRCULAR NA VENEZUELA E PELO MENOS 25 DELES FECHARAM PERMANENTEMENTE. O GOVERNO SOCIALISTA REALIZOU MAIS DE 150 AÇÕES DE CENSURA À RÁDIOS E SUSPENDEU O SINAL DE 10 ESTAÇÕES DE TELEVISÃO ESTRANGEIRAS</t>
        </is>
      </c>
      <c r="J943">
        <f>HYPERLINK("https://www.acritica.com/opiniao/dia-do-jornalista-na-venezuela-submetida-ao-socialismo-1.216396", "URL")</f>
        <v/>
      </c>
      <c r="K943">
        <f>HYPERLINK("https://raw.githubusercontent.com/marcosmapl/dataset_imigrantes/main/noticias_filtered/a_critica/venezuelanos/2020/06_jul/html/1.216396_292.html", "HTML")</f>
        <v/>
      </c>
      <c r="L943">
        <f>HYPERLINK("https://raw.githubusercontent.com/marcosmapl/dataset_imigrantes/main/noticias_filtered/a_critica/venezuelanos/2020/06_jul/txt/1.216396_292.txt", "TXT")</f>
        <v/>
      </c>
    </row>
    <row r="944">
      <c r="A944" s="1" t="n">
        <v>942</v>
      </c>
      <c r="B944" t="n">
        <v>2020</v>
      </c>
      <c r="C944" s="2" t="n">
        <v>44021.58980506944</v>
      </c>
      <c r="D944" t="inlineStr">
        <is>
          <t>G1</t>
        </is>
      </c>
      <c r="E944" t="inlineStr">
        <is>
          <t>VENEZUELANOS</t>
        </is>
      </c>
      <c r="F944" t="inlineStr">
        <is>
          <t>MATO GROSSO</t>
        </is>
      </c>
      <c r="G944" t="inlineStr">
        <is>
          <t>G1 MT</t>
        </is>
      </c>
      <c r="H944" t="inlineStr">
        <is>
          <t>CRIANÇA VENEZUELANA DE 2 ANOS MORRE APÓS SUPOSTAMENTE INGERIR QUEROSENE EM CUIABÁ</t>
        </is>
      </c>
      <c r="I944" t="inlineStr">
        <is>
          <t>A MENINA FOI SOCORRIDA PELOS PAIS E LEVADA ÀS PRESSAS ATÉ A POLICLÍNICA DO BAIRRO PLANALTO, MAS NÃO RESISTIU.</t>
        </is>
      </c>
      <c r="J944">
        <f>HYPERLINK("https://g1.globo.com/mt/mato-grosso/noticia/2020/07/09/crianca-venezuelana-de-2-anos-morre-apos-supostamente-ingerir-querosene-em-cuiaba.ghtml", "URL")</f>
        <v/>
      </c>
      <c r="K944">
        <f>HYPERLINK("https://raw.githubusercontent.com/marcosmapl/dataset_imigrantes/main/noticias_filtered/g1/venezuelanos/2020/06_jul/html/g1_160928cc-232a-11ed-b24f-6dbe51e79fca_4156.html", "HTML")</f>
        <v/>
      </c>
      <c r="L944">
        <f>HYPERLINK("https://raw.githubusercontent.com/marcosmapl/dataset_imigrantes/main/noticias_filtered/g1/venezuelanos/2020/06_jul/txt/g1_160928cc-232a-11ed-b24f-6dbe51e79fca_4156.txt", "TXT")</f>
        <v/>
      </c>
    </row>
    <row r="945">
      <c r="A945" s="1" t="n">
        <v>943</v>
      </c>
      <c r="B945" t="n">
        <v>2020</v>
      </c>
      <c r="C945" s="2" t="n">
        <v>44019.8316550926</v>
      </c>
      <c r="D945" t="inlineStr">
        <is>
          <t>A CRITICA</t>
        </is>
      </c>
      <c r="E945" t="inlineStr">
        <is>
          <t>VENEZUELANOS</t>
        </is>
      </c>
      <c r="F945" t="inlineStr">
        <is>
          <t>MANAUS</t>
        </is>
      </c>
      <c r="G945" t="inlineStr">
        <is>
          <t>JAN NOGUEIRA</t>
        </is>
      </c>
      <c r="H945" t="inlineStr">
        <is>
          <t>VENEZUELANO É PRESO SUSPEITO DE ESTUPRAR ADOLESCENTE DE 16 ANOS</t>
        </is>
      </c>
      <c r="I945" t="inlineStr">
        <is>
          <t>DE ACORDO COM RELATO DO PAI DA JOVEM, HOMEM ATRAIU A ADOLESCENTE ALEGANDO QUE TRABALHAVA EM UMA LOJA DE TELEFONIA E DARIA UM CELULAR PARA ELA; IML CONFIRMOU CONJUNÇÃO CARNAL</t>
        </is>
      </c>
      <c r="J945">
        <f>HYPERLINK("https://www.acritica.com/manaus/venezuelano-e-preso-suspeito-de-estuprar-adolescente-de-16-anos-1.37853", "URL")</f>
        <v/>
      </c>
      <c r="K945">
        <f>HYPERLINK("https://raw.githubusercontent.com/marcosmapl/dataset_imigrantes/main/noticias_filtered/a_critica/venezuelanos/2020/06_jul/html/1.37853_1181.html", "HTML")</f>
        <v/>
      </c>
      <c r="L945">
        <f>HYPERLINK("https://raw.githubusercontent.com/marcosmapl/dataset_imigrantes/main/noticias_filtered/a_critica/venezuelanos/2020/06_jul/txt/1.37853_1181.txt", "TXT")</f>
        <v/>
      </c>
    </row>
    <row r="946">
      <c r="A946" s="1" t="n">
        <v>944</v>
      </c>
      <c r="B946" t="n">
        <v>2020</v>
      </c>
      <c r="C946" s="2" t="n">
        <v>44019.78577743055</v>
      </c>
      <c r="D946" t="inlineStr">
        <is>
          <t>G1</t>
        </is>
      </c>
      <c r="E946" t="inlineStr">
        <is>
          <t>VENEZUELANOS</t>
        </is>
      </c>
      <c r="F946" t="inlineStr">
        <is>
          <t>PARÁ</t>
        </is>
      </c>
      <c r="G946" t="inlineStr">
        <is>
          <t>G1 PA — BELÉM</t>
        </is>
      </c>
      <c r="H946" t="inlineStr">
        <is>
          <t>VENEZUELANOS EM SITUAÇÃO DE VULNERABILIDADE SÃO ACOLHIDOS EM ABRIGO DE PARAUAPEBAS, NO PARÁ</t>
        </is>
      </c>
      <c r="I946" t="inlineStr">
        <is>
          <t>O ESPAÇO CONTA COM ITENS DO COSTUME DOS IMIGRANTES, COMO AS TRADICIONAIS REDES.</t>
        </is>
      </c>
      <c r="J946">
        <f>HYPERLINK("https://g1.globo.com/pa/para/noticia/2020/07/07/venezuelanos-em-situacao-de-vulnerabilidade-sao-acolhidos-em-abrigo-de-parauapebas-no-para.ghtml", "URL")</f>
        <v/>
      </c>
      <c r="K946">
        <f>HYPERLINK("https://raw.githubusercontent.com/marcosmapl/dataset_imigrantes/main/noticias_filtered/g1/venezuelanos/2020/06_jul/html/g1_a3a4c51a-232a-11ed-b24f-6dbe51e79fca_4192.html", "HTML")</f>
        <v/>
      </c>
      <c r="L946">
        <f>HYPERLINK("https://raw.githubusercontent.com/marcosmapl/dataset_imigrantes/main/noticias_filtered/g1/venezuelanos/2020/06_jul/txt/g1_a3a4c51a-232a-11ed-b24f-6dbe51e79fca_4192.txt", "TXT")</f>
        <v/>
      </c>
    </row>
    <row r="947">
      <c r="A947" s="1" t="n">
        <v>945</v>
      </c>
      <c r="B947" t="n">
        <v>2020</v>
      </c>
      <c r="C947" s="2" t="n">
        <v>44014.89560809028</v>
      </c>
      <c r="D947" t="inlineStr">
        <is>
          <t>G1</t>
        </is>
      </c>
      <c r="E947" t="inlineStr">
        <is>
          <t>VENEZUELANOS</t>
        </is>
      </c>
      <c r="F947" t="inlineStr">
        <is>
          <t>MUNDO</t>
        </is>
      </c>
      <c r="G947" t="inlineStr">
        <is>
          <t>BBC</t>
        </is>
      </c>
      <c r="H947" t="inlineStr">
        <is>
          <t>POR QUE A JUSTIÇA BRITÂNICA NEGOU A MADURO ACESSO AO OURO VENEZUELANO DEPOSITADO EM LONDES</t>
        </is>
      </c>
      <c r="I947" t="inlineStr">
        <is>
          <t>EM UMA AGUARDADA DECISÃO, O SUPERIOR TRIBUNAL DE JUSTIÇA DA INGLATERRA CONFIRMOU QUE O REINO UNIDO RECONHECE JUAN GUAIDÓ COMO PRESIDENTE DA VENEZUELA.</t>
        </is>
      </c>
      <c r="J947">
        <f>HYPERLINK("https://g1.globo.com/mundo/noticia/2020/07/02/por-que-a-justica-britanica-negou-a-maduro-acesso-ao-ouro-venezuelano-depositado-em-londes.ghtml", "URL")</f>
        <v/>
      </c>
      <c r="K947">
        <f>HYPERLINK("https://raw.githubusercontent.com/marcosmapl/dataset_imigrantes/main/noticias_filtered/g1/venezuelanos/2020/06_jul/html/g1_2f498d34-232c-11ed-b24f-6dbe51e79fca_4290.html", "HTML")</f>
        <v/>
      </c>
      <c r="L947">
        <f>HYPERLINK("https://raw.githubusercontent.com/marcosmapl/dataset_imigrantes/main/noticias_filtered/g1/venezuelanos/2020/06_jul/txt/g1_2f498d34-232c-11ed-b24f-6dbe51e79fca_4290.txt", "TXT")</f>
        <v/>
      </c>
    </row>
    <row r="948">
      <c r="A948" s="1" t="n">
        <v>946</v>
      </c>
      <c r="B948" t="n">
        <v>2020</v>
      </c>
      <c r="C948" s="2" t="n">
        <v>44011.92473006945</v>
      </c>
      <c r="D948" t="inlineStr">
        <is>
          <t>G1</t>
        </is>
      </c>
      <c r="E948" t="inlineStr">
        <is>
          <t>HAITIANOS</t>
        </is>
      </c>
      <c r="F948" t="inlineStr">
        <is>
          <t>CAMPINAS E REGIÃO</t>
        </is>
      </c>
      <c r="G948" t="inlineStr">
        <is>
          <t>G1 CAMPINAS E REGIÃO — CAMPINAS, SP</t>
        </is>
      </c>
      <c r="H948" t="inlineStr">
        <is>
          <t>HAITIANOS LIDERAM RANKING DE IMIGRAÇÃO PARA A REGIÃO METROPOLITANA DE CAMPINAS</t>
        </is>
      </c>
      <c r="I948" t="inlineStr">
        <is>
          <t>SEGUNDO ATLAS 2019 DA IMIGRAÇÃO, LANÇADO PELA UNICAMP, RMC RECEBEU 31.747 REGISTROS ATIVOS ENTRE 2009 E 2019, SENDO 33% DO PAÍS.</t>
        </is>
      </c>
      <c r="J948">
        <f>HYPERLINK("https://g1.globo.com/sp/campinas-regiao/noticia/2020/06/29/haitianos-lideram-ranking-de-imigracao-para-a-regiao-metropolitana-de-campinas.ghtml", "URL")</f>
        <v/>
      </c>
      <c r="K948">
        <f>HYPERLINK("https://raw.githubusercontent.com/marcosmapl/dataset_imigrantes/main/noticias_filtered/g1/haitianos/2020/05_jun/html/g1_77477cca-22f2-11ed-b24f-6dbe51e79fca_1799.html", "HTML")</f>
        <v/>
      </c>
      <c r="L948">
        <f>HYPERLINK("https://raw.githubusercontent.com/marcosmapl/dataset_imigrantes/main/noticias_filtered/g1/haitianos/2020/05_jun/txt/g1_77477cca-22f2-11ed-b24f-6dbe51e79fca_1799.txt", "TXT")</f>
        <v/>
      </c>
    </row>
    <row r="949">
      <c r="A949" s="1" t="n">
        <v>947</v>
      </c>
      <c r="B949" t="n">
        <v>2020</v>
      </c>
      <c r="C949" s="2" t="n">
        <v>44009.75962962963</v>
      </c>
      <c r="D949" t="inlineStr">
        <is>
          <t>A CRITICA</t>
        </is>
      </c>
      <c r="E949" t="inlineStr">
        <is>
          <t>VENEZUELANOS</t>
        </is>
      </c>
      <c r="F949" t="inlineStr"/>
      <c r="G949" t="inlineStr">
        <is>
          <t>REUTERS</t>
        </is>
      </c>
      <c r="H949" t="inlineStr">
        <is>
          <t>TRIBO YANOMAMI DIZ QUE DOIS INDÍGENAS FORAM MORTOS POR GARIMPEIROS EM RR</t>
        </is>
      </c>
      <c r="I949" t="inlineStr">
        <is>
          <t>OS YANOMAMI ESTÃO IMPLORANDO AO GOVERNO FEDERAL QUE EXPULSE MAIS DE 20 MIL GARIMPEIROS QUE BUSCAM OURO ILEGALMENTE EM SUAS TERRAS NO MEIO DA PANDEMIA DE CORONAVÍRUS, QUE JÁ INFECTOU MAIS DE 160 E MATOU CINCO INTEGRANTES DA TRIBO</t>
        </is>
      </c>
      <c r="J949">
        <f>HYPERLINK("https://www.acritica.com/tribo-yanomami-diz-que-dois-indigenas-foram-mortos-por-garimpeiros-em-rr-1.38467", "URL")</f>
        <v/>
      </c>
      <c r="K949">
        <f>HYPERLINK("https://raw.githubusercontent.com/marcosmapl/dataset_imigrantes/main/noticias_filtered/a_critica/venezuelanos/2020/05_jun/html/1.38467_790.html", "HTML")</f>
        <v/>
      </c>
      <c r="L949">
        <f>HYPERLINK("https://raw.githubusercontent.com/marcosmapl/dataset_imigrantes/main/noticias_filtered/a_critica/venezuelanos/2020/05_jun/txt/1.38467_790.txt", "TXT")</f>
        <v/>
      </c>
    </row>
    <row r="950">
      <c r="A950" s="1" t="n">
        <v>948</v>
      </c>
      <c r="B950" t="n">
        <v>2020</v>
      </c>
      <c r="C950" s="2" t="n">
        <v>44008.82013888889</v>
      </c>
      <c r="D950" t="inlineStr">
        <is>
          <t>A CRITICA</t>
        </is>
      </c>
      <c r="E950" t="inlineStr">
        <is>
          <t>VENEZUELANOS</t>
        </is>
      </c>
      <c r="F950" t="inlineStr">
        <is>
          <t>POLICIA</t>
        </is>
      </c>
      <c r="G950" t="inlineStr">
        <is>
          <t>JAN NOGUEIRA</t>
        </is>
      </c>
      <c r="H950" t="inlineStr">
        <is>
          <t>POLÍCIA PRENDE TRIO QUE CONFESSOU ASSASSINATO OCORRIDO HÁ 12 DIAS, NO PARQUE 10</t>
        </is>
      </c>
      <c r="I950" t="inlineStr">
        <is>
          <t>ELES CHEGARAM A CONFESSAR O CRIME APÓS TEREM SUAS IMAGENS DIVULGADAS, MAS HAVIAM SIDO LIBERADOS PORQUE O FLAGRANTE HAVIA PASSADO; AGORA, JUSTIÇA EMITIU MANDADO DE PRISÃO</t>
        </is>
      </c>
      <c r="J950">
        <f>HYPERLINK("https://www.acritica.com/policia/policia-prende-trio-que-confessou-assassinato-ocorrido-ha-12-dias-no-parque-10-1.38505", "URL")</f>
        <v/>
      </c>
      <c r="K950">
        <f>HYPERLINK("https://raw.githubusercontent.com/marcosmapl/dataset_imigrantes/main/noticias_filtered/a_critica/venezuelanos/2020/05_jun/html/1.38505_224.html", "HTML")</f>
        <v/>
      </c>
      <c r="L950">
        <f>HYPERLINK("https://raw.githubusercontent.com/marcosmapl/dataset_imigrantes/main/noticias_filtered/a_critica/venezuelanos/2020/05_jun/txt/1.38505_224.txt", "TXT")</f>
        <v/>
      </c>
    </row>
    <row r="951">
      <c r="A951" s="1" t="n">
        <v>949</v>
      </c>
      <c r="B951" t="n">
        <v>2020</v>
      </c>
      <c r="C951" s="2" t="n">
        <v>44008.73481010416</v>
      </c>
      <c r="D951" t="inlineStr">
        <is>
          <t>G1</t>
        </is>
      </c>
      <c r="E951" t="inlineStr">
        <is>
          <t>VENEZUELANOS</t>
        </is>
      </c>
      <c r="F951" t="inlineStr">
        <is>
          <t>PIAUÍ</t>
        </is>
      </c>
      <c r="G951" t="inlineStr">
        <is>
          <t>LAURA MOURA, G1 PI — TERESINA</t>
        </is>
      </c>
      <c r="H951" t="inlineStr">
        <is>
          <t>EM TERESINA, 78 REFUGIADOS VENEZUELANOS TESTAM POSITIVO PARA A COVID-19; UM ESTÁ NA UTI</t>
        </is>
      </c>
      <c r="I951" t="inlineStr">
        <is>
          <t>INFECTADOS ESTÃO ASSINTOMÁTICOS OU APRESENTA SINTOMAS LEVES. APENAS UM ESTÁ INTERNADO EM ESTADO GRAVE, INFORMOU A SECRETARIA MUNICIPAL DE CIDADANIA, ASSISTÊNCIA SOCIAL E POLÍTICAS INTEGRADAS (SEMCASPI).</t>
        </is>
      </c>
      <c r="J951">
        <f>HYPERLINK("https://g1.globo.com/pi/piaui/noticia/2020/06/26/em-teresina-quase-80-refugiados-venezuelanos-testam-positivo-para-a-covid-19-um-esta-na-uti.ghtml", "URL")</f>
        <v/>
      </c>
      <c r="K951">
        <f>HYPERLINK("https://raw.githubusercontent.com/marcosmapl/dataset_imigrantes/main/noticias_filtered/g1/venezuelanos/2020/05_jun/html/g1_26f45d2a-230a-11ed-b24f-6dbe51e79fca_2487.html", "HTML")</f>
        <v/>
      </c>
      <c r="L951">
        <f>HYPERLINK("https://raw.githubusercontent.com/marcosmapl/dataset_imigrantes/main/noticias_filtered/g1/venezuelanos/2020/05_jun/txt/g1_26f45d2a-230a-11ed-b24f-6dbe51e79fca_2487.txt", "TXT")</f>
        <v/>
      </c>
    </row>
    <row r="952">
      <c r="A952" s="1" t="n">
        <v>950</v>
      </c>
      <c r="B952" t="n">
        <v>2020</v>
      </c>
      <c r="C952" s="2" t="n">
        <v>44008.52853009259</v>
      </c>
      <c r="D952" t="inlineStr">
        <is>
          <t>A CRITICA</t>
        </is>
      </c>
      <c r="E952" t="inlineStr">
        <is>
          <t>VENEZUELANOS</t>
        </is>
      </c>
      <c r="F952" t="inlineStr">
        <is>
          <t>MANAUS</t>
        </is>
      </c>
      <c r="G952" t="inlineStr">
        <is>
          <t>PORTAL A CRÍTICA</t>
        </is>
      </c>
      <c r="H952" t="inlineStr">
        <is>
          <t>EM MANAUS, DENTISTA REALIZA AÇÃO SOLIDÁRIA PARA VENEZUELANOS NO DIA DO IMIGRANTE</t>
        </is>
      </c>
      <c r="I952" t="inlineStr">
        <is>
          <t>DOUTOR MIKE EZEQUIAS DISTRIBUIU MAIS DE 300 MÁSCARAS, ÁLCOOL EM GEL E DEU ORIENTAÇÕES DE SAÚDE BUCAL AOS IMIGRANTES QUE ESTÃO EM SITUAÇÃO DE VULNERABILIDADE SOCIAL PRÓXIMO À BOLA DO COROADO</t>
        </is>
      </c>
      <c r="J952">
        <f>HYPERLINK("https://www.acritica.com/manaus/em-manaus-dentista-realiza-ac-o-solidaria-para-venezuelanos-no-dia-do-imigrante-1.38745", "URL")</f>
        <v/>
      </c>
      <c r="K952">
        <f>HYPERLINK("https://raw.githubusercontent.com/marcosmapl/dataset_imigrantes/main/noticias_filtered/a_critica/venezuelanos/2020/05_jun/html/1.38745_1178.html", "HTML")</f>
        <v/>
      </c>
      <c r="L952">
        <f>HYPERLINK("https://raw.githubusercontent.com/marcosmapl/dataset_imigrantes/main/noticias_filtered/a_critica/venezuelanos/2020/05_jun/txt/1.38745_1178.txt", "TXT")</f>
        <v/>
      </c>
    </row>
    <row r="953">
      <c r="A953" s="1" t="n">
        <v>951</v>
      </c>
      <c r="B953" t="n">
        <v>2020</v>
      </c>
      <c r="C953" s="2" t="n">
        <v>44004.9986675</v>
      </c>
      <c r="D953" t="inlineStr">
        <is>
          <t>G1</t>
        </is>
      </c>
      <c r="E953" t="inlineStr">
        <is>
          <t>VENEZUELANOS</t>
        </is>
      </c>
      <c r="F953" t="inlineStr">
        <is>
          <t>BAHIA</t>
        </is>
      </c>
      <c r="G953" t="inlineStr">
        <is>
          <t>G1 BA</t>
        </is>
      </c>
      <c r="H953" t="inlineStr">
        <is>
          <t>HOSPITAL DA BA PROCURA FAMÍLIA DE VENEZUELANO INTERNADO HÁ 80 DIAS; HOMEM ESTÁ DESORIENTADO E SEM REFERÊNCIA FAMILIAR</t>
        </is>
      </c>
      <c r="I953" t="inlineStr">
        <is>
          <t>DE ACORDO COM A SESAB, JOSÉ RAMOS LAREZ SERRANO É NATURAL DA VENEZUELA E COMPLETARÁ 58 ANOS NO DIA 11 DE JULHO. EM SEU RG, CONSTA O NOME DA MÃE, MARIA YOLANDA SERRANO DE LAREZ.</t>
        </is>
      </c>
      <c r="J953">
        <f>HYPERLINK("https://g1.globo.com/ba/bahia/noticia/2020/06/22/hospital-da-ba-procura-familia-de-venezuelano-internado-ha-80-dias-homem-esta-desorientado-e-sem-referencia-familiar.ghtml", "URL")</f>
        <v/>
      </c>
      <c r="K953">
        <f>HYPERLINK("https://raw.githubusercontent.com/marcosmapl/dataset_imigrantes/main/noticias_filtered/g1/venezuelanos/2020/05_jun/html/g1_2a973806-231b-11ed-b24f-6dbe51e79fca_3371.html", "HTML")</f>
        <v/>
      </c>
      <c r="L953">
        <f>HYPERLINK("https://raw.githubusercontent.com/marcosmapl/dataset_imigrantes/main/noticias_filtered/g1/venezuelanos/2020/05_jun/txt/g1_2a973806-231b-11ed-b24f-6dbe51e79fca_3371.txt", "TXT")</f>
        <v/>
      </c>
    </row>
    <row r="954">
      <c r="A954" s="1" t="n">
        <v>952</v>
      </c>
      <c r="B954" t="n">
        <v>2020</v>
      </c>
      <c r="C954" s="2" t="n">
        <v>44004.44000472222</v>
      </c>
      <c r="D954" t="inlineStr">
        <is>
          <t>G1</t>
        </is>
      </c>
      <c r="E954" t="inlineStr">
        <is>
          <t>VENEZUELANOS</t>
        </is>
      </c>
      <c r="F954" t="inlineStr">
        <is>
          <t>MUNDO</t>
        </is>
      </c>
      <c r="G954" t="inlineStr">
        <is>
          <t>FRANCE PRESSE</t>
        </is>
      </c>
      <c r="H954" t="inlineStr">
        <is>
          <t>MADURO OU GUAIDÓ? JUSTIÇA BRITÂNICA EXAMINA QUEM REPRESENTA O POVO VENEZUELANO</t>
        </is>
      </c>
      <c r="I954" t="inlineStr">
        <is>
          <t>BANCO CENTRAL DA VENEZUELA (BCV), CONTROLADO POR MADURO, PEDIU DEVOLUÇÃO DE UM BILHÃO DE DÓLARES EM OURO DEPOSITADOS NO BANCO DA INGLATERRA (BOE) PARA COMBATER A PANDEMIA. GUAIDÓ PEDE PARA QUE DEMANDA SEJA REJEITADA.</t>
        </is>
      </c>
      <c r="J954">
        <f>HYPERLINK("https://g1.globo.com/mundo/noticia/2020/06/22/maduro-ou-guaido-justica-britanica-examina-quem-representa-o-povo-venezuelano.ghtml", "URL")</f>
        <v/>
      </c>
      <c r="K954">
        <f>HYPERLINK("https://raw.githubusercontent.com/marcosmapl/dataset_imigrantes/main/noticias_filtered/g1/venezuelanos/2020/05_jun/html/g1_a807fd76-2329-11ed-b24f-6dbe51e79fca_4130.html", "HTML")</f>
        <v/>
      </c>
      <c r="L954">
        <f>HYPERLINK("https://raw.githubusercontent.com/marcosmapl/dataset_imigrantes/main/noticias_filtered/g1/venezuelanos/2020/05_jun/txt/g1_a807fd76-2329-11ed-b24f-6dbe51e79fca_4130.txt", "TXT")</f>
        <v/>
      </c>
    </row>
    <row r="955">
      <c r="A955" s="1" t="n">
        <v>953</v>
      </c>
      <c r="B955" t="n">
        <v>2020</v>
      </c>
      <c r="C955" s="2" t="n">
        <v>44003.51931712963</v>
      </c>
      <c r="D955" t="inlineStr">
        <is>
          <t>A CRITICA</t>
        </is>
      </c>
      <c r="E955" t="inlineStr">
        <is>
          <t>VENEZUELANOS</t>
        </is>
      </c>
      <c r="F955" t="inlineStr">
        <is>
          <t>POLICIA</t>
        </is>
      </c>
      <c r="G955" t="inlineStr">
        <is>
          <t>JAN NOGUEIRA</t>
        </is>
      </c>
      <c r="H955" t="inlineStr">
        <is>
          <t>DOIS HOMENS SÃO PRESOS SUSPEITOS DE ESTUPRAREM MULHER EM MANAUS</t>
        </is>
      </c>
      <c r="I955" t="inlineStr">
        <is>
          <t>DE ACORDO COM INFORMAÇÕES DA POLÍCIA, DUPLA VIOLENTOU SEXUALMENTE A VÍTIMA ENQUANTO CONSUMIAM BEBIDAS ALCOÓLICAS COM ELA</t>
        </is>
      </c>
      <c r="J955">
        <f>HYPERLINK("https://www.acritica.com/policia/dois-homens-s-o-presos-suspeitos-de-estuprarem-mulher-em-manaus-1.38997", "URL")</f>
        <v/>
      </c>
      <c r="K955">
        <f>HYPERLINK("https://raw.githubusercontent.com/marcosmapl/dataset_imigrantes/main/noticias_filtered/a_critica/venezuelanos/2020/05_jun/html/1.38997_939.html", "HTML")</f>
        <v/>
      </c>
      <c r="L955">
        <f>HYPERLINK("https://raw.githubusercontent.com/marcosmapl/dataset_imigrantes/main/noticias_filtered/a_critica/venezuelanos/2020/05_jun/txt/1.38997_939.txt", "TXT")</f>
        <v/>
      </c>
    </row>
    <row r="956">
      <c r="A956" s="1" t="n">
        <v>954</v>
      </c>
      <c r="B956" t="n">
        <v>2020</v>
      </c>
      <c r="C956" s="2" t="n">
        <v>44003.51344907407</v>
      </c>
      <c r="D956" t="inlineStr">
        <is>
          <t>A CRITICA</t>
        </is>
      </c>
      <c r="E956" t="inlineStr">
        <is>
          <t>VENEZUELANOS</t>
        </is>
      </c>
      <c r="F956" t="inlineStr">
        <is>
          <t>MANAUS</t>
        </is>
      </c>
      <c r="G956" t="inlineStr">
        <is>
          <t>JAKELINE XAVIER</t>
        </is>
      </c>
      <c r="H956" t="inlineStr">
        <is>
          <t>MIGRANTES VENEZUELANOS SOFREM DE MANEIRA MAIS INTENSAS IMPACTOS DA COVID-19</t>
        </is>
      </c>
      <c r="I956" t="inlineStr">
        <is>
          <t>A CRÍTICA CONVERSOU COM A PROCURADORA MICHÈLE DIZ Y GIL CORBI PARA ENTENDER MELHOR O CONTEXTO DESTA POPULAÇÃO EM MEIO À PANDEMIA DO NOVO CORONAVÍRUS</t>
        </is>
      </c>
      <c r="J956">
        <f>HYPERLINK("https://www.acritica.com/manaus/migrantes-venezuelanos-sofrem-de-maneira-mais-intensas-impactos-da-covid-19-1.39018", "URL")</f>
        <v/>
      </c>
      <c r="K956">
        <f>HYPERLINK("https://raw.githubusercontent.com/marcosmapl/dataset_imigrantes/main/noticias_filtered/a_critica/venezuelanos/2020/05_jun/html/1.39018_899.html", "HTML")</f>
        <v/>
      </c>
      <c r="L956">
        <f>HYPERLINK("https://raw.githubusercontent.com/marcosmapl/dataset_imigrantes/main/noticias_filtered/a_critica/venezuelanos/2020/05_jun/txt/1.39018_899.txt", "TXT")</f>
        <v/>
      </c>
    </row>
    <row r="957">
      <c r="A957" s="1" t="n">
        <v>955</v>
      </c>
      <c r="B957" t="n">
        <v>2020</v>
      </c>
      <c r="C957" s="2" t="n">
        <v>44002.72751157408</v>
      </c>
      <c r="D957" t="inlineStr">
        <is>
          <t>A CRITICA</t>
        </is>
      </c>
      <c r="E957" t="inlineStr">
        <is>
          <t>VENEZUELANOS</t>
        </is>
      </c>
      <c r="F957" t="inlineStr"/>
      <c r="G957" t="inlineStr">
        <is>
          <t>AGÊNCIA BRASIL</t>
        </is>
      </c>
      <c r="H957" t="inlineStr">
        <is>
          <t>PROJETO PROMOVE EMPREGO PARA MIGRANTES VENEZUELANOS NO BRASIL</t>
        </is>
      </c>
      <c r="I957" t="inlineStr">
        <is>
          <t>DEVIDO À CRISE POLÍTICA, SOCIAL E ECONÔMICA NO PAÍS VIZINHO, MUITOS VENEZUELANOS ATRAVESSARAM A FRONTEIRA EM BUSCA DE RECURSOS ATÉ MESMO DE REFÚGIO NO PAÍS</t>
        </is>
      </c>
      <c r="J957">
        <f>HYPERLINK("https://www.acritica.com/projeto-promove-emprego-para-migrantes-venezuelanos-no-brasil-1.39160", "URL")</f>
        <v/>
      </c>
      <c r="K957">
        <f>HYPERLINK("https://raw.githubusercontent.com/marcosmapl/dataset_imigrantes/main/noticias_filtered/a_critica/venezuelanos/2020/05_jun/html/1.39160_1277.html", "HTML")</f>
        <v/>
      </c>
      <c r="L957">
        <f>HYPERLINK("https://raw.githubusercontent.com/marcosmapl/dataset_imigrantes/main/noticias_filtered/a_critica/venezuelanos/2020/05_jun/txt/1.39160_1277.txt", "TXT")</f>
        <v/>
      </c>
    </row>
    <row r="958">
      <c r="A958" s="1" t="n">
        <v>956</v>
      </c>
      <c r="B958" t="n">
        <v>2020</v>
      </c>
      <c r="C958" s="2" t="n">
        <v>44002.60946355324</v>
      </c>
      <c r="D958" t="inlineStr">
        <is>
          <t>G1</t>
        </is>
      </c>
      <c r="E958" t="inlineStr">
        <is>
          <t>VENEZUELANOS</t>
        </is>
      </c>
      <c r="F958" t="inlineStr">
        <is>
          <t>RORAIMA</t>
        </is>
      </c>
      <c r="G958" t="inlineStr">
        <is>
          <t>G1 RR* — BOA VISTA</t>
        </is>
      </c>
      <c r="H958" t="inlineStr">
        <is>
          <t>VENEZUELANO É ASSASSINADO EM CONSTRUÇÃO NA ZONA SUL DE BOA VISTA</t>
        </is>
      </c>
      <c r="I958" t="inlineStr">
        <is>
          <t>ROIBEL RAMON BRAVO TAMOY, DE 33 ANOS, TINHA UMA PERFURAÇÃO NAS COSTAS E MARCAS DE AGRESSÃO NO ROSTO.</t>
        </is>
      </c>
      <c r="J958">
        <f>HYPERLINK("https://g1.globo.com/rr/roraima/noticia/2020/06/20/venezuelano-e-assassinado-em-construcao-na-zona-sul-de-boa-vista.ghtml", "URL")</f>
        <v/>
      </c>
      <c r="K958">
        <f>HYPERLINK("https://raw.githubusercontent.com/marcosmapl/dataset_imigrantes/main/noticias_filtered/g1/venezuelanos/2020/05_jun/html/g1_e7ab7e70-2311-11ed-b24f-6dbe51e79fca_2940.html", "HTML")</f>
        <v/>
      </c>
      <c r="L958">
        <f>HYPERLINK("https://raw.githubusercontent.com/marcosmapl/dataset_imigrantes/main/noticias_filtered/g1/venezuelanos/2020/05_jun/txt/g1_e7ab7e70-2311-11ed-b24f-6dbe51e79fca_2940.txt", "TXT")</f>
        <v/>
      </c>
    </row>
    <row r="959">
      <c r="A959" s="1" t="n">
        <v>957</v>
      </c>
      <c r="B959" t="n">
        <v>2020</v>
      </c>
      <c r="C959" s="2" t="n">
        <v>44002.49449074074</v>
      </c>
      <c r="D959" t="inlineStr">
        <is>
          <t>A CRITICA</t>
        </is>
      </c>
      <c r="E959" t="inlineStr">
        <is>
          <t>VENEZUELANOS</t>
        </is>
      </c>
      <c r="F959" t="inlineStr"/>
      <c r="G959" t="inlineStr">
        <is>
          <t>AGÊNCIA BRASIL</t>
        </is>
      </c>
      <c r="H959" t="inlineStr">
        <is>
          <t>HOSPITAL DE CAMPANHA INICIA ATENDIMENTO DE REFUGIADOS EM RORAIMA</t>
        </is>
      </c>
      <c r="I959" t="inlineStr">
        <is>
          <t>FUNCIONAMENTO DA ALA ESPECIAL MARCA O DIA MUNDIAL DO REFUGIADO, CELEBRADO NESTE SÁBADO (20)</t>
        </is>
      </c>
      <c r="J959">
        <f>HYPERLINK("https://www.acritica.com/hospital-de-campanha-inicia-atendimento-de-refugiados-em-roraima-1.39193", "URL")</f>
        <v/>
      </c>
      <c r="K959">
        <f>HYPERLINK("https://raw.githubusercontent.com/marcosmapl/dataset_imigrantes/main/noticias_filtered/a_critica/venezuelanos/2020/05_jun/html/1.39193_86.html", "HTML")</f>
        <v/>
      </c>
      <c r="L959">
        <f>HYPERLINK("https://raw.githubusercontent.com/marcosmapl/dataset_imigrantes/main/noticias_filtered/a_critica/venezuelanos/2020/05_jun/txt/1.39193_86.txt", "TXT")</f>
        <v/>
      </c>
    </row>
    <row r="960">
      <c r="A960" s="1" t="n">
        <v>958</v>
      </c>
      <c r="B960" t="n">
        <v>2020</v>
      </c>
      <c r="C960" s="2" t="n">
        <v>44002.03828695602</v>
      </c>
      <c r="D960" t="inlineStr">
        <is>
          <t>G1</t>
        </is>
      </c>
      <c r="E960" t="inlineStr">
        <is>
          <t>VENEZUELANOS</t>
        </is>
      </c>
      <c r="F960" t="inlineStr">
        <is>
          <t>SÃO PAULO</t>
        </is>
      </c>
      <c r="G960" t="inlineStr">
        <is>
          <t>BEATRIZ BACKES E RODRIGO RODRIGUES, TV GLOBO E G1 SP — SÃO PAULO</t>
        </is>
      </c>
      <c r="H960" t="inlineStr">
        <is>
          <t>PM AMBIENTAL APREENDE 18 AVES EXÓTICAS VENEZUELANAS MANTIDAS EM CATIVEIRO EM CARAPICUÍBA, NA GRANDE SÃO PAULO</t>
        </is>
      </c>
      <c r="I960" t="inlineStr">
        <is>
          <t>OS POLICIAIS CHEGARAM AO LOCAL APÓS UMA DENÚNCIA ANÔNIMA DE MAUS-TRATOS AOS ANIMAIS. O DONO DO ESPAÇO FOI AUTUADO POR CRIME AMBIENTAL E RECEBEU MULTA DE R$ 5,6 MIL.</t>
        </is>
      </c>
      <c r="J960">
        <f>HYPERLINK("https://g1.globo.com/sp/sao-paulo/noticia/2020/06/19/pm-ambiental-apreende-18-aves-exoticas-venezuelanas-mantidas-em-cativeiro-em-carapicuiba-na-grande-sao-paulo.ghtml", "URL")</f>
        <v/>
      </c>
      <c r="K960">
        <f>HYPERLINK("https://raw.githubusercontent.com/marcosmapl/dataset_imigrantes/main/noticias_filtered/g1/venezuelanos/2020/05_jun/html/g1_9044fc0c-230b-11ed-b24f-6dbe51e79fca_2571.html", "HTML")</f>
        <v/>
      </c>
      <c r="L960">
        <f>HYPERLINK("https://raw.githubusercontent.com/marcosmapl/dataset_imigrantes/main/noticias_filtered/g1/venezuelanos/2020/05_jun/txt/g1_9044fc0c-230b-11ed-b24f-6dbe51e79fca_2571.txt", "TXT")</f>
        <v/>
      </c>
    </row>
    <row r="961">
      <c r="A961" s="1" t="n">
        <v>959</v>
      </c>
      <c r="B961" t="n">
        <v>2020</v>
      </c>
      <c r="C961" s="2" t="n">
        <v>44000.974375</v>
      </c>
      <c r="D961" t="inlineStr">
        <is>
          <t>A CRITICA</t>
        </is>
      </c>
      <c r="E961" t="inlineStr">
        <is>
          <t>VENEZUELANOS</t>
        </is>
      </c>
      <c r="F961" t="inlineStr">
        <is>
          <t>OPINIAO</t>
        </is>
      </c>
      <c r="G961" t="inlineStr">
        <is>
          <t>DULCE RODRIGUEZ</t>
        </is>
      </c>
      <c r="H961" t="inlineStr">
        <is>
          <t>VENEZUELA DENUNCIA À ONU 'NEGLIGÊNCIA CRIMINOSA DO BRASIL NA PANDEMIA'</t>
        </is>
      </c>
      <c r="I961" t="inlineStr">
        <is>
          <t>SÓ MENTIRAS. A VENEZUELA ENFRENTA O CORONAVÍRUS COM UMA GRANDE OPACIDADE EPIDEMIOLÓGICA</t>
        </is>
      </c>
      <c r="J961">
        <f>HYPERLINK("https://www.acritica.com/opiniao/venezuela-denuncia-a-onu-negligencia-criminosa-do-brasil-na-pandemia-1.216429", "URL")</f>
        <v/>
      </c>
      <c r="K961">
        <f>HYPERLINK("https://raw.githubusercontent.com/marcosmapl/dataset_imigrantes/main/noticias_filtered/a_critica/venezuelanos/2020/05_jun/html/1.216429_727.html", "HTML")</f>
        <v/>
      </c>
      <c r="L961">
        <f>HYPERLINK("https://raw.githubusercontent.com/marcosmapl/dataset_imigrantes/main/noticias_filtered/a_critica/venezuelanos/2020/05_jun/txt/1.216429_727.txt", "TXT")</f>
        <v/>
      </c>
    </row>
    <row r="962">
      <c r="A962" s="1" t="n">
        <v>960</v>
      </c>
      <c r="B962" t="n">
        <v>2020</v>
      </c>
      <c r="C962" s="2" t="n">
        <v>43999.95346878472</v>
      </c>
      <c r="D962" t="inlineStr">
        <is>
          <t>G1</t>
        </is>
      </c>
      <c r="E962" t="inlineStr">
        <is>
          <t>HAITIANOS</t>
        </is>
      </c>
      <c r="F962" t="inlineStr">
        <is>
          <t>MATO GROSSO</t>
        </is>
      </c>
      <c r="G962" t="inlineStr">
        <is>
          <t>G1 MT</t>
        </is>
      </c>
      <c r="H962" t="inlineStr">
        <is>
          <t>VOZES E INSURGÊNCIAS NEGRAS SÃO DESTAQUES NA PROGRAMAÇÃO ONLINE DO MUSEU DE ARTE SACRA EM MT</t>
        </is>
      </c>
      <c r="I962" t="inlineStr">
        <is>
          <t>O EQUIPAMENTO CULTURAL DA SECEL DÁ VOZ À LUTA ANTIRRACISTA POR MEIO DE LIVES QUE SERÃO TRANSMITIDAS DE QUINTA A SÁBADO.</t>
        </is>
      </c>
      <c r="J962">
        <f>HYPERLINK("https://g1.globo.com/mt/mato-grosso/noticia/2020/06/17/vozes-e-insurgencias-negras-sao-destaques-na-programacao-online-do-museu-de-arte-sacra-em-mt.ghtml", "URL")</f>
        <v/>
      </c>
      <c r="K962">
        <f>HYPERLINK("https://raw.githubusercontent.com/marcosmapl/dataset_imigrantes/main/noticias_filtered/g1/haitianos/2020/05_jun/html/g1_a877bc6a-231f-11ed-b24f-6dbe51e79fca_3636.html", "HTML")</f>
        <v/>
      </c>
      <c r="L962">
        <f>HYPERLINK("https://raw.githubusercontent.com/marcosmapl/dataset_imigrantes/main/noticias_filtered/g1/haitianos/2020/05_jun/txt/g1_a877bc6a-231f-11ed-b24f-6dbe51e79fca_3636.txt", "TXT")</f>
        <v/>
      </c>
    </row>
    <row r="963">
      <c r="A963" s="1" t="n">
        <v>961</v>
      </c>
      <c r="B963" t="n">
        <v>2020</v>
      </c>
      <c r="C963" s="2" t="n">
        <v>43998.82512300926</v>
      </c>
      <c r="D963" t="inlineStr">
        <is>
          <t>G1</t>
        </is>
      </c>
      <c r="E963" t="inlineStr">
        <is>
          <t>HAITIANOS</t>
        </is>
      </c>
      <c r="F963" t="inlineStr">
        <is>
          <t>SANTA CATARINA</t>
        </is>
      </c>
      <c r="G963" t="inlineStr">
        <is>
          <t>G1 E NSC TV</t>
        </is>
      </c>
      <c r="H963" t="inlineStr">
        <is>
          <t>CINCO ESTRANGEIROS MORREM DE COVID-19 EM SC E CIDADE USA CARRO DE SOM PARA ORIENTAÇÕES EM FRANCÊS E CRIOULO</t>
        </is>
      </c>
      <c r="I963" t="inlineStr">
        <is>
          <t>VÍTIMAS SÃO DOIS HAITIANOS, UM GUIANÊS, UM LIBANÊS E UM CHILENO. UMA DAS MORTES FOI EM XAXIM, NO OESTE CATARINENSE, CIDADE EM QUE VIVEM 4 MIL IMIGRANTES E ONDE CASOS DE COVID-19 AUMENTARAM 130% EM 15 DIAS.</t>
        </is>
      </c>
      <c r="J963">
        <f>HYPERLINK("https://g1.globo.com/sc/santa-catarina/noticia/2020/06/16/cinco-estrangeiros-morrem-de-covid-19-em-sc-e-cidade-usa-carro-de-som-para-orientacoes-em-frances-e-crioulo.ghtml", "URL")</f>
        <v/>
      </c>
      <c r="K963">
        <f>HYPERLINK("https://raw.githubusercontent.com/marcosmapl/dataset_imigrantes/main/noticias_filtered/g1/haitianos/2020/05_jun/html/g1_34c86336-22f8-11ed-b24f-6dbe51e79fca_2121.html", "HTML")</f>
        <v/>
      </c>
      <c r="L963">
        <f>HYPERLINK("https://raw.githubusercontent.com/marcosmapl/dataset_imigrantes/main/noticias_filtered/g1/haitianos/2020/05_jun/txt/g1_34c86336-22f8-11ed-b24f-6dbe51e79fca_2121.txt", "TXT")</f>
        <v/>
      </c>
    </row>
    <row r="964">
      <c r="A964" s="1" t="n">
        <v>962</v>
      </c>
      <c r="B964" t="n">
        <v>2020</v>
      </c>
      <c r="C964" s="2" t="n">
        <v>43997.61046296296</v>
      </c>
      <c r="D964" t="inlineStr">
        <is>
          <t>A CRITICA</t>
        </is>
      </c>
      <c r="E964" t="inlineStr">
        <is>
          <t>VENEZUELANOS</t>
        </is>
      </c>
      <c r="F964" t="inlineStr">
        <is>
          <t>ESPORTES</t>
        </is>
      </c>
      <c r="G964" t="inlineStr">
        <is>
          <t>LEONARDO SENA</t>
        </is>
      </c>
      <c r="H964" t="inlineStr">
        <is>
          <t>EM NEGOCIAÇÕES COM TIME ESPANHOL, DAYANA PODE DEIXAR 3B SPORT</t>
        </is>
      </c>
      <c r="I964" t="inlineStr">
        <is>
          <t>VOLANTE VENEZUELANA DE 18 ANOS DE IDADE É CONSTANTEMENTE CONVOCADA PARA TIMES SUB-20 E PRINCIPAL DA SELEÇÃO NACIONAL. ENTRAVE PARA CONCRETIZAÇÃO DO NEGÓCIO, POR ENQUANTO, É VENCIMENTO DE PASSAPORTE DA ATLETA</t>
        </is>
      </c>
      <c r="J964">
        <f>HYPERLINK("https://www.acritica.com/esportes/em-negociac-es-com-time-espanhol-dayana-pode-deixar-3b-sport-1.39629", "URL")</f>
        <v/>
      </c>
      <c r="K964">
        <f>HYPERLINK("https://raw.githubusercontent.com/marcosmapl/dataset_imigrantes/main/noticias_filtered/a_critica/venezuelanos/2020/05_jun/html/1.39629_933.html", "HTML")</f>
        <v/>
      </c>
      <c r="L964">
        <f>HYPERLINK("https://raw.githubusercontent.com/marcosmapl/dataset_imigrantes/main/noticias_filtered/a_critica/venezuelanos/2020/05_jun/txt/1.39629_933.txt", "TXT")</f>
        <v/>
      </c>
    </row>
    <row r="965">
      <c r="A965" s="1" t="n">
        <v>963</v>
      </c>
      <c r="B965" t="n">
        <v>2020</v>
      </c>
      <c r="C965" s="2" t="n">
        <v>43997.56120074074</v>
      </c>
      <c r="D965" t="inlineStr">
        <is>
          <t>G1</t>
        </is>
      </c>
      <c r="E965" t="inlineStr">
        <is>
          <t>VENEZUELANOS</t>
        </is>
      </c>
      <c r="F965" t="inlineStr">
        <is>
          <t>RIO GRANDE DO NORTE</t>
        </is>
      </c>
      <c r="G965" t="inlineStr">
        <is>
          <t>G1 RN</t>
        </is>
      </c>
      <c r="H965" t="inlineStr">
        <is>
          <t>PROJETO FEIRA SOLIDÁRIA ARRECADA DINHEIRO PARA DOAR ALIMENTOS PARA VENEZUELANOS REFUGIADOS EM NATAL</t>
        </is>
      </c>
      <c r="I965" t="inlineStr">
        <is>
          <t>MORADORES DA COMUNIDADE DA ÁFRICA TAMBÉM VÃO RECEBER AJUDA DA AÇÃO SOLIDÁRIA, QUE REALIZA A SUA TERCEIRA EDIÇÃO A PARTIR DESTA SEGUNDA-FEIRA (15).</t>
        </is>
      </c>
      <c r="J965">
        <f>HYPERLINK("https://g1.globo.com/rn/rio-grande-do-norte/noticia/2020/06/15/projeto-feira-solidaria-arrecada-dinheiro-para-doar-alimentos-para-venezuelanos-refugiados-em-natal.ghtml", "URL")</f>
        <v/>
      </c>
      <c r="K965">
        <f>HYPERLINK("https://raw.githubusercontent.com/marcosmapl/dataset_imigrantes/main/noticias_filtered/g1/venezuelanos/2020/05_jun/html/g1_81f8c934-2325-11ed-b24f-6dbe51e79fca_3918.html", "HTML")</f>
        <v/>
      </c>
      <c r="L965">
        <f>HYPERLINK("https://raw.githubusercontent.com/marcosmapl/dataset_imigrantes/main/noticias_filtered/g1/venezuelanos/2020/05_jun/txt/g1_81f8c934-2325-11ed-b24f-6dbe51e79fca_3918.txt", "TXT")</f>
        <v/>
      </c>
    </row>
    <row r="966">
      <c r="A966" s="1" t="n">
        <v>964</v>
      </c>
      <c r="B966" t="n">
        <v>2020</v>
      </c>
      <c r="C966" s="2" t="n">
        <v>43994.47992555556</v>
      </c>
      <c r="D966" t="inlineStr">
        <is>
          <t>G1</t>
        </is>
      </c>
      <c r="E966" t="inlineStr">
        <is>
          <t>VENEZUELANOS</t>
        </is>
      </c>
      <c r="F966" t="inlineStr">
        <is>
          <t>MUNDO</t>
        </is>
      </c>
      <c r="G966" t="inlineStr">
        <is>
          <t>FRANCE PRESSE</t>
        </is>
      </c>
      <c r="H966" t="inlineStr">
        <is>
          <t>COLÔMBIA EXPULSA SUPOSTO ESPIÃO VENEZUELANO QUE FINGIU DESERTAR DO CHAVISMO</t>
        </is>
      </c>
      <c r="I966" t="inlineStr">
        <is>
          <t>GERARDO ROJAS CASTILLO ADMITIU SER MEMBRO DA FORÇA NACIONAL BOLIVARIANA.</t>
        </is>
      </c>
      <c r="J966">
        <f>HYPERLINK("https://g1.globo.com/mundo/noticia/2020/06/12/colombia-expulsa-suposto-espiao-venezuelano-que-fingiu-desertar-do-chavismo.ghtml", "URL")</f>
        <v/>
      </c>
      <c r="K966">
        <f>HYPERLINK("https://raw.githubusercontent.com/marcosmapl/dataset_imigrantes/main/noticias_filtered/g1/venezuelanos/2020/05_jun/html/g1_ed36e166-2309-11ed-b24f-6dbe51e79fca_2474.html", "HTML")</f>
        <v/>
      </c>
      <c r="L966">
        <f>HYPERLINK("https://raw.githubusercontent.com/marcosmapl/dataset_imigrantes/main/noticias_filtered/g1/venezuelanos/2020/05_jun/txt/g1_ed36e166-2309-11ed-b24f-6dbe51e79fca_2474.txt", "TXT")</f>
        <v/>
      </c>
    </row>
    <row r="967">
      <c r="A967" s="1" t="n">
        <v>965</v>
      </c>
      <c r="B967" t="n">
        <v>2020</v>
      </c>
      <c r="C967" s="2" t="n">
        <v>43993.71831011574</v>
      </c>
      <c r="D967" t="inlineStr">
        <is>
          <t>G1</t>
        </is>
      </c>
      <c r="E967" t="inlineStr">
        <is>
          <t>VENEZUELANOS</t>
        </is>
      </c>
      <c r="F967" t="inlineStr">
        <is>
          <t>RONDÔNIA</t>
        </is>
      </c>
      <c r="G967" t="inlineStr">
        <is>
          <t>G1 RO</t>
        </is>
      </c>
      <c r="H967" t="inlineStr">
        <is>
          <t>PF RESGATA 5 VENEZUELANOS VÍTIMAS DE TRABALHO ANÁLOGO À ESCRAVIDÃO EM DISTRITO DE RO</t>
        </is>
      </c>
      <c r="I967" t="inlineStr">
        <is>
          <t>ENTRE OS TRABALHADORES, HÁ UMA GRÁVIDA E UMA CRIANÇA DE 11 ANOS. PESSOAS MORAVAM EM UMA LAVOURA DE MARACUJÁ EM PROPRIEDADE RURAL SOB SITUAÇÃO DE VULNERABILIDADE, DIZ DENÚNCIA; DONO PODERÁ RESPONDER POR CRIMES NAS ESFERAS 'CIVIL, TRABALHISTA E PENAL'.</t>
        </is>
      </c>
      <c r="J967">
        <f>HYPERLINK("https://g1.globo.com/ro/rondonia/noticia/2020/06/11/pf-resgata-5-venezuelanos-vitimas-de-trabalho-analogo-a-escravidao-em-distrito-de-ro.ghtml", "URL")</f>
        <v/>
      </c>
      <c r="K967">
        <f>HYPERLINK("https://raw.githubusercontent.com/marcosmapl/dataset_imigrantes/main/noticias_filtered/g1/venezuelanos/2020/05_jun/html/g1_56682d64-2307-11ed-b24f-6dbe51e79fca_2312.html", "HTML")</f>
        <v/>
      </c>
      <c r="L967">
        <f>HYPERLINK("https://raw.githubusercontent.com/marcosmapl/dataset_imigrantes/main/noticias_filtered/g1/venezuelanos/2020/05_jun/txt/g1_56682d64-2307-11ed-b24f-6dbe51e79fca_2312.txt", "TXT")</f>
        <v/>
      </c>
    </row>
    <row r="968">
      <c r="A968" s="1" t="n">
        <v>966</v>
      </c>
      <c r="B968" t="n">
        <v>2020</v>
      </c>
      <c r="C968" s="2" t="n">
        <v>43991.70596064815</v>
      </c>
      <c r="D968" t="inlineStr">
        <is>
          <t>A CRITICA</t>
        </is>
      </c>
      <c r="E968" t="inlineStr">
        <is>
          <t>VENEZUELANOS</t>
        </is>
      </c>
      <c r="F968" t="inlineStr"/>
      <c r="G968" t="inlineStr">
        <is>
          <t>PORTAL A CRÍTICA</t>
        </is>
      </c>
      <c r="H968" t="inlineStr">
        <is>
          <t>PESSOAS RECONHECIDAS COMO REFUGIADAS VIVENDO NO BRASIL JÁ SÃO 43 MIL</t>
        </is>
      </c>
      <c r="I968" t="inlineStr">
        <is>
          <t>SISTEMA DE DECISÃO MAIS CÉLERE DO CONARE CONCEDEU STATUS DE REFÚGIO A 17,7 MIL REFUGIADOS SÓ ESTE ANO. GRANDE PARTE DOS NOVOS REFUGIADOS VIERAM DA VENEZUELA</t>
        </is>
      </c>
      <c r="J968">
        <f>HYPERLINK("https://www.acritica.com/pessoas-reconhecidas-como-refugiadas-vivendo-no-brasil-ja-s-o-43-mil-1.40044", "URL")</f>
        <v/>
      </c>
      <c r="K968">
        <f>HYPERLINK("https://raw.githubusercontent.com/marcosmapl/dataset_imigrantes/main/noticias_filtered/a_critica/venezuelanos/2020/05_jun/html/1.40044_20.html", "HTML")</f>
        <v/>
      </c>
      <c r="L968">
        <f>HYPERLINK("https://raw.githubusercontent.com/marcosmapl/dataset_imigrantes/main/noticias_filtered/a_critica/venezuelanos/2020/05_jun/txt/1.40044_20.txt", "TXT")</f>
        <v/>
      </c>
    </row>
    <row r="969">
      <c r="A969" s="1" t="n">
        <v>967</v>
      </c>
      <c r="B969" t="n">
        <v>2020</v>
      </c>
      <c r="C969" s="2" t="n">
        <v>43991.33411384259</v>
      </c>
      <c r="D969" t="inlineStr">
        <is>
          <t>G1</t>
        </is>
      </c>
      <c r="E969" t="inlineStr">
        <is>
          <t>VENEZUELANOS</t>
        </is>
      </c>
      <c r="F969" t="inlineStr">
        <is>
          <t>MUNDO</t>
        </is>
      </c>
      <c r="G969" t="inlineStr">
        <is>
          <t>LUCAS VIDIGAL, G1</t>
        </is>
      </c>
      <c r="H969" t="inlineStr">
        <is>
          <t>NÚMERO DE REFUGIADOS NO BRASIL AUMENTA MAIS DE 7 VEZES NO SEMESTRE; MAIORIA É DE VENEZUELANOS</t>
        </is>
      </c>
      <c r="I969" t="inlineStr">
        <is>
          <t>CERCA DE 43 MIL ESTRANGEIROS VIVEM NO BRASIL COM A CONDIÇÃO DE REFÚGIO. DESSE TOTAL, QUASE 90% VIERAM DA VENEZUELA. COM A PANDEMIA DO NOVO CORONAVÍRUS, PORÉM, NÚMERO DE PESSOAS QUE PEDEM REFÚGIO ÀS AUTORIDADES BRASILEIRAS DEVE DIMINUIR.</t>
        </is>
      </c>
      <c r="J969">
        <f>HYPERLINK("https://g1.globo.com/mundo/noticia/2020/06/09/numero-de-refugiados-no-brasil-aumenta-mais-de-7-vezes-no-semestre-maioria-e-de-venezuelanos.ghtml", "URL")</f>
        <v/>
      </c>
      <c r="K969">
        <f>HYPERLINK("https://raw.githubusercontent.com/marcosmapl/dataset_imigrantes/main/noticias_filtered/g1/venezuelanos/2020/05_jun/html/g1_053e1630-231e-11ed-b24f-6dbe51e79fca_3534.html", "HTML")</f>
        <v/>
      </c>
      <c r="L969">
        <f>HYPERLINK("https://raw.githubusercontent.com/marcosmapl/dataset_imigrantes/main/noticias_filtered/g1/venezuelanos/2020/05_jun/txt/g1_053e1630-231e-11ed-b24f-6dbe51e79fca_3534.txt", "TXT")</f>
        <v/>
      </c>
    </row>
    <row r="970">
      <c r="A970" s="1" t="n">
        <v>968</v>
      </c>
      <c r="B970" t="n">
        <v>2020</v>
      </c>
      <c r="C970" s="2" t="n">
        <v>43985.81663194444</v>
      </c>
      <c r="D970" t="inlineStr">
        <is>
          <t>A CRITICA</t>
        </is>
      </c>
      <c r="E970" t="inlineStr">
        <is>
          <t>VENEZUELANOS</t>
        </is>
      </c>
      <c r="F970" t="inlineStr">
        <is>
          <t>OPINIAO</t>
        </is>
      </c>
      <c r="G970" t="inlineStr">
        <is>
          <t>DULCE RODRIGUEZ</t>
        </is>
      </c>
      <c r="H970" t="inlineStr">
        <is>
          <t>A NOVA NORMALIDADE</t>
        </is>
      </c>
      <c r="I970" t="inlineStr">
        <is>
          <t>JUNHO CHEGOU COM A FLEXIBILIZAÇÃO DO ISOLAMENTO SOCIAL EM MANAUS, COM PROTESTOS CONTRA RACISMO NOS ESTADOS UNIDOS E OUTROS LUGARES DO MUNDO E COM GASOLINA A PREÇO INTERNACIONAL NA VENEZUELA, O PAÍS COM AS MAIORES RESERVAS DE PETRÓLEO</t>
        </is>
      </c>
      <c r="J970">
        <f>HYPERLINK("https://www.acritica.com/opiniao/a-nova-normalidade-1.216461", "URL")</f>
        <v/>
      </c>
      <c r="K970">
        <f>HYPERLINK("https://raw.githubusercontent.com/marcosmapl/dataset_imigrantes/main/noticias_filtered/a_critica/venezuelanos/2020/05_jun/html/1.216461_295.html", "HTML")</f>
        <v/>
      </c>
      <c r="L970">
        <f>HYPERLINK("https://raw.githubusercontent.com/marcosmapl/dataset_imigrantes/main/noticias_filtered/a_critica/venezuelanos/2020/05_jun/txt/1.216461_295.txt", "TXT")</f>
        <v/>
      </c>
    </row>
    <row r="971">
      <c r="A971" s="1" t="n">
        <v>969</v>
      </c>
      <c r="B971" t="n">
        <v>2020</v>
      </c>
      <c r="C971" s="2" t="n">
        <v>43985.75527927083</v>
      </c>
      <c r="D971" t="inlineStr">
        <is>
          <t>G1</t>
        </is>
      </c>
      <c r="E971" t="inlineStr">
        <is>
          <t>VENEZUELANOS</t>
        </is>
      </c>
      <c r="F971" t="inlineStr">
        <is>
          <t>TOCANTINS</t>
        </is>
      </c>
      <c r="G971" t="inlineStr">
        <is>
          <t>G1 TOCANTINS</t>
        </is>
      </c>
      <c r="H971" t="inlineStr">
        <is>
          <t>JUSTIÇA ESTABELECE PRAZO PARA PREFEITURA INFORMAR SITUAÇÃO DE VENEZUELANOS QUE VIVEM EM ARAGUAÍNA</t>
        </is>
      </c>
      <c r="I971" t="inlineStr">
        <is>
          <t>SEGUNDO A DEFENSORIA PÚBLICA DO TOCANTINS, FAMÍLIAS VIVEM EM VULNERABILIDADE E PRECISAM DE ASSISTÊNCIA.</t>
        </is>
      </c>
      <c r="J971">
        <f>HYPERLINK("https://g1.globo.com/to/tocantins/noticia/2020/06/03/justica-estabelece-prazo-para-prefeitura-informar-situacao-de-venezuelanos-que-vivem-em-araguaina.ghtml", "URL")</f>
        <v/>
      </c>
      <c r="K971">
        <f>HYPERLINK("https://raw.githubusercontent.com/marcosmapl/dataset_imigrantes/main/noticias_filtered/g1/venezuelanos/2020/05_jun/html/g1_4b6867be-2319-11ed-b24f-6dbe51e79fca_3308.html", "HTML")</f>
        <v/>
      </c>
      <c r="L971">
        <f>HYPERLINK("https://raw.githubusercontent.com/marcosmapl/dataset_imigrantes/main/noticias_filtered/g1/venezuelanos/2020/05_jun/txt/g1_4b6867be-2319-11ed-b24f-6dbe51e79fca_3308.txt", "TXT")</f>
        <v/>
      </c>
    </row>
    <row r="972">
      <c r="A972" s="1" t="n">
        <v>970</v>
      </c>
      <c r="B972" t="n">
        <v>2020</v>
      </c>
      <c r="C972" s="2" t="n">
        <v>43984.97715277778</v>
      </c>
      <c r="D972" t="inlineStr">
        <is>
          <t>A CRITICA</t>
        </is>
      </c>
      <c r="E972" t="inlineStr">
        <is>
          <t>VENEZUELANOS</t>
        </is>
      </c>
      <c r="F972" t="inlineStr">
        <is>
          <t>MANAUS</t>
        </is>
      </c>
      <c r="G972" t="inlineStr">
        <is>
          <t>PORTAL A CRÍTICA</t>
        </is>
      </c>
      <c r="H972" t="inlineStr">
        <is>
          <t>PRIMEIRA PACIENTE DA ALA INDÍGENA DO HOSPITAL NILTON LINS RECEBE ALTA NESTA TERÇA-FEIRA (2)</t>
        </is>
      </c>
      <c r="I972" t="inlineStr">
        <is>
          <t>INDÍGENA VENEZUELANA DA ETNIA WARAO DEIXOU HOSPITAL APÓS SETE DIAS DE INTERNAÇÃO</t>
        </is>
      </c>
      <c r="J972">
        <f>HYPERLINK("https://www.acritica.com/manaus/primeira-paciente-da-ala-indigena-do-hospital-nilton-lins-recebe-alta-nesta-terca-feira-2-1.40061", "URL")</f>
        <v/>
      </c>
      <c r="K972">
        <f>HYPERLINK("https://raw.githubusercontent.com/marcosmapl/dataset_imigrantes/main/noticias_filtered/a_critica/venezuelanos/2020/05_jun/html/1.40061_852.html", "HTML")</f>
        <v/>
      </c>
      <c r="L972">
        <f>HYPERLINK("https://raw.githubusercontent.com/marcosmapl/dataset_imigrantes/main/noticias_filtered/a_critica/venezuelanos/2020/05_jun/txt/1.40061_852.txt", "TXT")</f>
        <v/>
      </c>
    </row>
    <row r="973">
      <c r="A973" s="1" t="n">
        <v>971</v>
      </c>
      <c r="B973" t="n">
        <v>2020</v>
      </c>
      <c r="C973" s="2" t="n">
        <v>43984.90208333333</v>
      </c>
      <c r="D973" t="inlineStr">
        <is>
          <t>A CRITICA</t>
        </is>
      </c>
      <c r="E973" t="inlineStr">
        <is>
          <t>VENEZUELANOS</t>
        </is>
      </c>
      <c r="F973" t="inlineStr">
        <is>
          <t>MANAUS</t>
        </is>
      </c>
      <c r="G973" t="inlineStr">
        <is>
          <t>JEFFERSON RAMOS</t>
        </is>
      </c>
      <c r="H973" t="inlineStr">
        <is>
          <t>PREFEITURA DE MANAUS DIZ QUE RENOVOU CONTRATO COM EMPRESA INVESTIGADA PARA EVITAR DESABASTECIMENTO</t>
        </is>
      </c>
      <c r="I973" t="inlineStr">
        <is>
          <t>SEGUNDO A PREFEITURA, CONTRATO COM A G. H. MACARIO BENTO, INVESTIGADA NA SEXTA FASE DA MAUS CAMINHOS, FOI PRORROGADO 'EM CARÁTER EXCEPCIONAL E POR MAIS SEIS MESES'</t>
        </is>
      </c>
      <c r="J973">
        <f>HYPERLINK("https://www.acritica.com/manaus/prefeitura-de-manaus-diz-que-renovou-contrato-com-empresa-investigada-para-evitar-desabastecimento-1.40369", "URL")</f>
        <v/>
      </c>
      <c r="K973">
        <f>HYPERLINK("https://raw.githubusercontent.com/marcosmapl/dataset_imigrantes/main/noticias_filtered/a_critica/venezuelanos/2020/05_jun/html/1.40369_76.html", "HTML")</f>
        <v/>
      </c>
      <c r="L973">
        <f>HYPERLINK("https://raw.githubusercontent.com/marcosmapl/dataset_imigrantes/main/noticias_filtered/a_critica/venezuelanos/2020/05_jun/txt/1.40369_76.txt", "TXT")</f>
        <v/>
      </c>
    </row>
    <row r="974">
      <c r="A974" s="1" t="n">
        <v>972</v>
      </c>
      <c r="B974" t="n">
        <v>2020</v>
      </c>
      <c r="C974" s="2" t="n">
        <v>43984.62106481481</v>
      </c>
      <c r="D974" t="inlineStr">
        <is>
          <t>A CRITICA</t>
        </is>
      </c>
      <c r="E974" t="inlineStr">
        <is>
          <t>VENEZUELANOS</t>
        </is>
      </c>
      <c r="F974" t="inlineStr"/>
      <c r="G974" t="inlineStr">
        <is>
          <t>PORTAL A CRÍTICA</t>
        </is>
      </c>
      <c r="H974" t="inlineStr">
        <is>
          <t>ENTIDADES CARENTES DO AM RECEBEM DOAÇÃO DE LANCHES DE FEIRANTES DA ADS</t>
        </is>
      </c>
      <c r="I974" t="inlineStr">
        <is>
          <t>MAIS DE UMA TONELADA EM ALIMENTOS FORAM ENTREGUES PARA A SEJUSC, SEAS E FPS, RESPONSÁVEIS PELA DISTRIBUIÇÃO DOS ALIMENTOS A PESSOAS EM VULNERABILIDADE</t>
        </is>
      </c>
      <c r="J974">
        <f>HYPERLINK("https://www.acritica.com/entidades-carentes-do-am-recebem-doac-o-de-lanches-de-feirantes-da-ads-1.40429", "URL")</f>
        <v/>
      </c>
      <c r="K974">
        <f>HYPERLINK("https://raw.githubusercontent.com/marcosmapl/dataset_imigrantes/main/noticias_filtered/a_critica/venezuelanos/2020/05_jun/html/1.40429_1239.html", "HTML")</f>
        <v/>
      </c>
      <c r="L974">
        <f>HYPERLINK("https://raw.githubusercontent.com/marcosmapl/dataset_imigrantes/main/noticias_filtered/a_critica/venezuelanos/2020/05_jun/txt/1.40429_1239.txt", "TXT")</f>
        <v/>
      </c>
    </row>
    <row r="975">
      <c r="A975" s="1" t="n">
        <v>973</v>
      </c>
      <c r="B975" t="n">
        <v>2020</v>
      </c>
      <c r="C975" s="2" t="n">
        <v>43984.60833333333</v>
      </c>
      <c r="D975" t="inlineStr">
        <is>
          <t>A CRITICA</t>
        </is>
      </c>
      <c r="E975" t="inlineStr">
        <is>
          <t>VENEZUELANOS</t>
        </is>
      </c>
      <c r="F975" t="inlineStr">
        <is>
          <t>MANAUS</t>
        </is>
      </c>
      <c r="G975" t="inlineStr">
        <is>
          <t>PORTAL A CRÍTICA</t>
        </is>
      </c>
      <c r="H975" t="inlineStr">
        <is>
          <t>MPF BUSCA GARANTIR SEGURANÇA ALIMENTAR PARA INDÍGENAS WARAO EM MANAUS</t>
        </is>
      </c>
      <c r="I975" t="inlineStr">
        <is>
          <t>RECOMENDAÇÃO INCLUI MEDIDAS PARA ASSEGURAR A QUALIDADE NUTRICIONAL DA ALIMENTAÇÃO FORNECIDA PELO PODER PÚBLICO MUNICIPAL, ADEQUADA AOS HÁBITOS ALIMENTARES DOS INDÍGENAS</t>
        </is>
      </c>
      <c r="J975">
        <f>HYPERLINK("https://www.acritica.com/manaus/mpf-busca-garantir-seguranca-alimentar-para-indigenas-warao-em-manaus-1.40436", "URL")</f>
        <v/>
      </c>
      <c r="K975">
        <f>HYPERLINK("https://raw.githubusercontent.com/marcosmapl/dataset_imigrantes/main/noticias_filtered/a_critica/venezuelanos/2020/05_jun/html/1.40436_1027.html", "HTML")</f>
        <v/>
      </c>
      <c r="L975">
        <f>HYPERLINK("https://raw.githubusercontent.com/marcosmapl/dataset_imigrantes/main/noticias_filtered/a_critica/venezuelanos/2020/05_jun/txt/1.40436_1027.txt", "TXT")</f>
        <v/>
      </c>
    </row>
    <row r="976">
      <c r="A976" s="1" t="n">
        <v>974</v>
      </c>
      <c r="B976" t="n">
        <v>2020</v>
      </c>
      <c r="C976" s="2" t="n">
        <v>43981.80759462963</v>
      </c>
      <c r="D976" t="inlineStr">
        <is>
          <t>G1</t>
        </is>
      </c>
      <c r="E976" t="inlineStr">
        <is>
          <t>VENEZUELANOS</t>
        </is>
      </c>
      <c r="F976" t="inlineStr">
        <is>
          <t>MATO GROSSO DO SUL</t>
        </is>
      </c>
      <c r="G976" t="inlineStr">
        <is>
          <t>JOÃO PEDRO GODOY E MÔNICA DAU, G1MS E TV MORENA</t>
        </is>
      </c>
      <c r="H976" t="inlineStr">
        <is>
          <t>VENEZUELANA DE 27 ANOS QUE MORREU DE COVID-19 EM MS VEIO AO BRASIL EM BUSCA DE MELHORIA DE VIDA; ELA DEIXA 3 FILHOS PEQUENOS</t>
        </is>
      </c>
      <c r="I976" t="inlineStr">
        <is>
          <t>RUSELIS HERNANDEZ CHEGOU A DOURADOS (MS) HÁ UM ANO E OITO MESES, PARA MORAR COM MARIDO E FILHOS. 19ª VÍTIMA DE CORONAVÍRUS NO ESTADO, ELA FOI ENTERRADA NA TARDE DESTA SEXTA-FEIRA (29), SEM VELÓRIO OU CERIMÔNIA DE DESPEDIDA.</t>
        </is>
      </c>
      <c r="J976">
        <f>HYPERLINK("https://g1.globo.com/ms/mato-grosso-do-sul/noticia/2020/05/30/venezuelana-de-27-anos-que-morreu-de-covid-19-em-ms-veio-ao-brasil-em-busca-de-melhoria-de-vida-ela-deixa-3-filhos-pequenos.ghtml", "URL")</f>
        <v/>
      </c>
      <c r="K976">
        <f>HYPERLINK("https://raw.githubusercontent.com/marcosmapl/dataset_imigrantes/main/noticias_filtered/g1/venezuelanos/2020/04_mai/html/g1_efea523a-2318-11ed-b24f-6dbe51e79fca_3289.html", "HTML")</f>
        <v/>
      </c>
      <c r="L976">
        <f>HYPERLINK("https://raw.githubusercontent.com/marcosmapl/dataset_imigrantes/main/noticias_filtered/g1/venezuelanos/2020/04_mai/txt/g1_efea523a-2318-11ed-b24f-6dbe51e79fca_3289.txt", "TXT")</f>
        <v/>
      </c>
    </row>
    <row r="977">
      <c r="A977" s="1" t="n">
        <v>975</v>
      </c>
      <c r="B977" t="n">
        <v>2020</v>
      </c>
      <c r="C977" s="2" t="n">
        <v>43981.0174537037</v>
      </c>
      <c r="D977" t="inlineStr">
        <is>
          <t>A CRITICA</t>
        </is>
      </c>
      <c r="E977" t="inlineStr">
        <is>
          <t>VENEZUELANOS</t>
        </is>
      </c>
      <c r="F977" t="inlineStr">
        <is>
          <t>MANAUS</t>
        </is>
      </c>
      <c r="G977" t="inlineStr">
        <is>
          <t>PORTAL A CRÍTICA</t>
        </is>
      </c>
      <c r="H977" t="inlineStr">
        <is>
          <t>ALA INDÍGENA DO HOSPITAL DE CAMPANHA DA NILTON LINS COMEÇA A RECEBER PACIENTES</t>
        </is>
      </c>
      <c r="I977" t="inlineStr">
        <is>
          <t>DOIS INDÍGENAS, DE MANAUS E DE NOVA OLINDA DO NORTE, JÁ ESTÃO SENDO ATENDIDOS PELA EQUIPE</t>
        </is>
      </c>
      <c r="J977">
        <f>HYPERLINK("https://www.acritica.com/manaus/ala-indigena-do-hospital-de-campanha-da-nilton-lins-comeca-a-receber-pacientes-1.40583", "URL")</f>
        <v/>
      </c>
      <c r="K977">
        <f>HYPERLINK("https://raw.githubusercontent.com/marcosmapl/dataset_imigrantes/main/noticias_filtered/a_critica/venezuelanos/2020/04_mai/html/1.40583_116.html", "HTML")</f>
        <v/>
      </c>
      <c r="L977">
        <f>HYPERLINK("https://raw.githubusercontent.com/marcosmapl/dataset_imigrantes/main/noticias_filtered/a_critica/venezuelanos/2020/04_mai/txt/1.40583_116.txt", "TXT")</f>
        <v/>
      </c>
    </row>
    <row r="978">
      <c r="A978" s="1" t="n">
        <v>976</v>
      </c>
      <c r="B978" t="n">
        <v>2020</v>
      </c>
      <c r="C978" s="2" t="n">
        <v>43980.7359709375</v>
      </c>
      <c r="D978" t="inlineStr">
        <is>
          <t>G1</t>
        </is>
      </c>
      <c r="E978" t="inlineStr">
        <is>
          <t>VENEZUELANOS</t>
        </is>
      </c>
      <c r="F978" t="inlineStr">
        <is>
          <t>MATO GROSSO DO SUL</t>
        </is>
      </c>
      <c r="G978" t="inlineStr">
        <is>
          <t>G1MS</t>
        </is>
      </c>
      <c r="H978" t="inlineStr">
        <is>
          <t>SES CONFIRMA 19° ÓBITO POR COVID-19 EM MS; VÍTIMA DE 27 ANOS NÃO POSSUÍA COMORBIDADES RELATADAS</t>
        </is>
      </c>
      <c r="I978" t="inlineStr">
        <is>
          <t>SECRETARIA DE ESTADO DE SAÚDE CONFIRMOU O REGISTRO NA TARDE DESTA SEXTA-FEIRA (29). VÍTIMA DE CORONAVÍRUS É UMA MULHER VENEZUELANA, DE 27 ANOS, QUE MORAVA EM DOURADOS HÁ UM ANO E OITO MESES.</t>
        </is>
      </c>
      <c r="J978">
        <f>HYPERLINK("https://g1.globo.com/ms/mato-grosso-do-sul/noticia/2020/05/29/ses-confirma-19-obito-por-covid-19-em-ms-vitima-de-27-anos-nao-possuia-comorbidades-relatadas.ghtml", "URL")</f>
        <v/>
      </c>
      <c r="K978">
        <f>HYPERLINK("https://raw.githubusercontent.com/marcosmapl/dataset_imigrantes/main/noticias_filtered/g1/venezuelanos/2020/04_mai/html/g1_20dde398-231e-11ed-b24f-6dbe51e79fca_3542.html", "HTML")</f>
        <v/>
      </c>
      <c r="L978">
        <f>HYPERLINK("https://raw.githubusercontent.com/marcosmapl/dataset_imigrantes/main/noticias_filtered/g1/venezuelanos/2020/04_mai/txt/g1_20dde398-231e-11ed-b24f-6dbe51e79fca_3542.txt", "TXT")</f>
        <v/>
      </c>
    </row>
    <row r="979">
      <c r="A979" s="1" t="n">
        <v>977</v>
      </c>
      <c r="B979" t="n">
        <v>2020</v>
      </c>
      <c r="C979" s="2" t="n">
        <v>43978.98402777778</v>
      </c>
      <c r="D979" t="inlineStr">
        <is>
          <t>A CRITICA</t>
        </is>
      </c>
      <c r="E979" t="inlineStr">
        <is>
          <t>VENEZUELANOS</t>
        </is>
      </c>
      <c r="F979" t="inlineStr">
        <is>
          <t>MANAUS</t>
        </is>
      </c>
      <c r="G979" t="inlineStr">
        <is>
          <t>LUIZ G. MELO</t>
        </is>
      </c>
      <c r="H979" t="inlineStr">
        <is>
          <t>GOVERNO DOS EUA DOA $2 MILHÕES E EPIS PARA O COMBATE A COVID-19 NO AM</t>
        </is>
      </c>
      <c r="I979" t="inlineStr">
        <is>
          <t>AÇÃO FAZ PARTE DE UMA SÉRIE DE ASSISTÊNCIAS DO GOVERNO NORTE-AMERICANO AO BRASIL, DIRECIONADO ESPECIALMENTE À SAÚDE PARA FORNECER APOIO IMEDIATO ÀS COMUNIDADES VULNERÁVEIS DA AMAZÔNIA</t>
        </is>
      </c>
      <c r="J979">
        <f>HYPERLINK("https://www.acritica.com/manaus/governo-dos-eua-doa-2-milh-es-e-epis-para-o-combate-a-covid-19-no-am-1.40805", "URL")</f>
        <v/>
      </c>
      <c r="K979">
        <f>HYPERLINK("https://raw.githubusercontent.com/marcosmapl/dataset_imigrantes/main/noticias_filtered/a_critica/venezuelanos/2020/04_mai/html/1.40805_511.html", "HTML")</f>
        <v/>
      </c>
      <c r="L979">
        <f>HYPERLINK("https://raw.githubusercontent.com/marcosmapl/dataset_imigrantes/main/noticias_filtered/a_critica/venezuelanos/2020/04_mai/txt/1.40805_511.txt", "TXT")</f>
        <v/>
      </c>
    </row>
    <row r="980">
      <c r="A980" s="1" t="n">
        <v>978</v>
      </c>
      <c r="B980" t="n">
        <v>2020</v>
      </c>
      <c r="C980" s="2" t="n">
        <v>43978.81069092593</v>
      </c>
      <c r="D980" t="inlineStr">
        <is>
          <t>G1</t>
        </is>
      </c>
      <c r="E980" t="inlineStr">
        <is>
          <t>VENEZUELANOS</t>
        </is>
      </c>
      <c r="F980" t="inlineStr">
        <is>
          <t>SOROCABA E JUNDIAÍ</t>
        </is>
      </c>
      <c r="G980" t="inlineStr">
        <is>
          <t>G1 SOROCABA E JUNDIAÍ</t>
        </is>
      </c>
      <c r="H980" t="inlineStr">
        <is>
          <t>VENEZUELANO É PRESO SUSPEITO DE AGREDIR A ESPOSA EM JUNDIAÍ</t>
        </is>
      </c>
      <c r="I980" t="inlineStr">
        <is>
          <t>CASO OCORREU NO BAIRRO ELOY CHAVES. MULHER FOI SOCORRIDA AO HOSPITAL UNIVERSITÁRIO E LIBERADA APÓS EXAMES.</t>
        </is>
      </c>
      <c r="J980">
        <f>HYPERLINK("https://g1.globo.com/sp/sorocaba-jundiai/noticia/2020/05/27/venezuelano-e-preso-suspeito-de-agredir-a-esposa-em-jundiai.ghtml", "URL")</f>
        <v/>
      </c>
      <c r="K980">
        <f>HYPERLINK("https://raw.githubusercontent.com/marcosmapl/dataset_imigrantes/main/noticias_filtered/g1/venezuelanos/2020/04_mai/html/g1_8246b346-2312-11ed-b24f-6dbe51e79fca_2970.html", "HTML")</f>
        <v/>
      </c>
      <c r="L980">
        <f>HYPERLINK("https://raw.githubusercontent.com/marcosmapl/dataset_imigrantes/main/noticias_filtered/g1/venezuelanos/2020/04_mai/txt/g1_8246b346-2312-11ed-b24f-6dbe51e79fca_2970.txt", "TXT")</f>
        <v/>
      </c>
    </row>
    <row r="981">
      <c r="A981" s="1" t="n">
        <v>979</v>
      </c>
      <c r="B981" t="n">
        <v>2020</v>
      </c>
      <c r="C981" s="2" t="n">
        <v>43977.65474269676</v>
      </c>
      <c r="D981" t="inlineStr">
        <is>
          <t>G1</t>
        </is>
      </c>
      <c r="E981" t="inlineStr">
        <is>
          <t>VENEZUELANOS</t>
        </is>
      </c>
      <c r="F981" t="inlineStr">
        <is>
          <t>PIAUÍ</t>
        </is>
      </c>
      <c r="G981" t="inlineStr">
        <is>
          <t>LUCAS MARREIROS, G1 PI</t>
        </is>
      </c>
      <c r="H981" t="inlineStr">
        <is>
          <t>MAIS DE 180 VENEZUELANOS REFUGIADOS EM TERESINA TESTAM NEGATIVO PARA COVID-19</t>
        </is>
      </c>
      <c r="I981" t="inlineStr">
        <is>
          <t>DE ACORDO COM A SECRETÁRIA MUNICIPAL DE CIDADANIA, ASSISTÊNCIA SOCIAL E POLÍTICAS INTEGRADAS (SEMCASPI), TODOS OS 182 IMIGRANTES TESTARAM NEGATIVO PARA A INFECÇÃO PELO CORONAVÍRUS.</t>
        </is>
      </c>
      <c r="J981">
        <f>HYPERLINK("https://g1.globo.com/pi/piaui/noticia/2020/05/26/mais-de-180-venezuelanos-refugiados-em-teresina-testam-negativo-para-covid-19.ghtml", "URL")</f>
        <v/>
      </c>
      <c r="K981">
        <f>HYPERLINK("https://raw.githubusercontent.com/marcosmapl/dataset_imigrantes/main/noticias_filtered/g1/venezuelanos/2020/04_mai/html/g1_b04e6f24-231f-11ed-b24f-6dbe51e79fca_3638.html", "HTML")</f>
        <v/>
      </c>
      <c r="L981">
        <f>HYPERLINK("https://raw.githubusercontent.com/marcosmapl/dataset_imigrantes/main/noticias_filtered/g1/venezuelanos/2020/04_mai/txt/g1_b04e6f24-231f-11ed-b24f-6dbe51e79fca_3638.txt", "TXT")</f>
        <v/>
      </c>
    </row>
    <row r="982">
      <c r="A982" s="1" t="n">
        <v>980</v>
      </c>
      <c r="B982" t="n">
        <v>2020</v>
      </c>
      <c r="C982" s="2" t="n">
        <v>43977.63398148148</v>
      </c>
      <c r="D982" t="inlineStr">
        <is>
          <t>A CRITICA</t>
        </is>
      </c>
      <c r="E982" t="inlineStr">
        <is>
          <t>AMBOS</t>
        </is>
      </c>
      <c r="F982" t="inlineStr">
        <is>
          <t>ENTRETENIMENTO</t>
        </is>
      </c>
      <c r="G982" t="inlineStr">
        <is>
          <t>LUIZ G. MELO</t>
        </is>
      </c>
      <c r="H982" t="inlineStr">
        <is>
          <t>QUARENTENAS AMAZÔNICAS: LIVRO ABORDA IMPACTOS DA PANDEMIA NA REGIÃO</t>
        </is>
      </c>
      <c r="I982" t="inlineStr">
        <is>
          <t>PUBLICAÇÃO REÚNE ARTIGOS SOBRE A REALIDADE DE GRUPOS SOCIAIS COM A CHEGADA DA COVID-19</t>
        </is>
      </c>
      <c r="J982">
        <f>HYPERLINK("https://www.acritica.com/entretenimento/quarentenas-amazonicas-livro-aborda-impactos-da-pandemia-na-regi-o-1.41109", "URL")</f>
        <v/>
      </c>
      <c r="K982">
        <f>HYPERLINK("https://raw.githubusercontent.com/marcosmapl/dataset_imigrantes/main/noticias_filtered/a_critica/ambos/2020/04_mai/html/1.41109_419.html", "HTML")</f>
        <v/>
      </c>
      <c r="L982">
        <f>HYPERLINK("https://raw.githubusercontent.com/marcosmapl/dataset_imigrantes/main/noticias_filtered/a_critica/ambos/2020/04_mai/txt/1.41109_419.txt", "TXT")</f>
        <v/>
      </c>
    </row>
    <row r="983">
      <c r="A983" s="1" t="n">
        <v>981</v>
      </c>
      <c r="B983" t="n">
        <v>2020</v>
      </c>
      <c r="C983" s="2" t="n">
        <v>43976.86486221065</v>
      </c>
      <c r="D983" t="inlineStr">
        <is>
          <t>G1</t>
        </is>
      </c>
      <c r="E983" t="inlineStr">
        <is>
          <t>VENEZUELANOS</t>
        </is>
      </c>
      <c r="F983" t="inlineStr">
        <is>
          <t>PIAUÍ</t>
        </is>
      </c>
      <c r="G983" t="inlineStr">
        <is>
          <t>G1 PI</t>
        </is>
      </c>
      <c r="H983" t="inlineStr">
        <is>
          <t>REFUGIADOS VENEZUELANOS SÃO TESTADOS PARA COVID-19 EM TERESINA</t>
        </is>
      </c>
      <c r="I983" t="inlineStr">
        <is>
          <t>IMIGRANTES DE TRÊS ABRIGOS DA CAPITAL TIVERAM EXAMES REALIZADOS NESTA SEGUNDA-FEIRA (25).</t>
        </is>
      </c>
      <c r="J983">
        <f>HYPERLINK("https://g1.globo.com/pi/piaui/noticia/2020/05/25/refugiados-venezuelanos-sao-testados-para-covid-19-em-teresina.ghtml", "URL")</f>
        <v/>
      </c>
      <c r="K983">
        <f>HYPERLINK("https://raw.githubusercontent.com/marcosmapl/dataset_imigrantes/main/noticias_filtered/g1/venezuelanos/2020/04_mai/html/g1_285d5d1c-2312-11ed-b24f-6dbe51e79fca_2952.html", "HTML")</f>
        <v/>
      </c>
      <c r="L983">
        <f>HYPERLINK("https://raw.githubusercontent.com/marcosmapl/dataset_imigrantes/main/noticias_filtered/g1/venezuelanos/2020/04_mai/txt/g1_285d5d1c-2312-11ed-b24f-6dbe51e79fca_2952.txt", "TXT")</f>
        <v/>
      </c>
    </row>
    <row r="984">
      <c r="A984" s="1" t="n">
        <v>982</v>
      </c>
      <c r="B984" t="n">
        <v>2020</v>
      </c>
      <c r="C984" s="2" t="n">
        <v>43976.84414351852</v>
      </c>
      <c r="D984" t="inlineStr">
        <is>
          <t>A CRITICA</t>
        </is>
      </c>
      <c r="E984" t="inlineStr">
        <is>
          <t>VENEZUELANOS</t>
        </is>
      </c>
      <c r="F984" t="inlineStr">
        <is>
          <t>OPINIAO</t>
        </is>
      </c>
      <c r="G984" t="inlineStr">
        <is>
          <t>DULCE RODRIGUEZ</t>
        </is>
      </c>
      <c r="H984" t="inlineStr">
        <is>
          <t>CRISE DENTRO DA CRISE: FRONTEIRA FECHADA E DESAFIO ENORME NOS ABRIGOS</t>
        </is>
      </c>
      <c r="I984" t="inlineStr">
        <is>
          <t>MEUS IRMÃOS VENEZUELANOS QUE ENTRARAM NO BRASIL PELA FRONTEIRA COM RORAIMA ENFRENTAM PROTOCOLO RÍGIDO IMPLEMENTADO PELA OPERAÇÃO ACOLHIDA PARA QUE A PANDEMIA DO CORONAVIRUS NÃO PASSE PARA OS ABRIGOS</t>
        </is>
      </c>
      <c r="J984">
        <f>HYPERLINK("https://www.acritica.com/opiniao/crise-dentro-da-crise-fronteira-fechada-e-desafio-enorme-nos-abrigos-1.216402", "URL")</f>
        <v/>
      </c>
      <c r="K984">
        <f>HYPERLINK("https://raw.githubusercontent.com/marcosmapl/dataset_imigrantes/main/noticias_filtered/a_critica/venezuelanos/2020/04_mai/html/1.216402_674.html", "HTML")</f>
        <v/>
      </c>
      <c r="L984">
        <f>HYPERLINK("https://raw.githubusercontent.com/marcosmapl/dataset_imigrantes/main/noticias_filtered/a_critica/venezuelanos/2020/04_mai/txt/1.216402_674.txt", "TXT")</f>
        <v/>
      </c>
    </row>
    <row r="985">
      <c r="A985" s="1" t="n">
        <v>983</v>
      </c>
      <c r="B985" t="n">
        <v>2020</v>
      </c>
      <c r="C985" s="2" t="n">
        <v>43974.45840381944</v>
      </c>
      <c r="D985" t="inlineStr">
        <is>
          <t>G1</t>
        </is>
      </c>
      <c r="E985" t="inlineStr">
        <is>
          <t>VENEZUELANOS</t>
        </is>
      </c>
      <c r="F985" t="inlineStr">
        <is>
          <t>BAHIA</t>
        </is>
      </c>
      <c r="G985" t="inlineStr">
        <is>
          <t>RAFAEL SANTANA, G1 BA</t>
        </is>
      </c>
      <c r="H985" t="inlineStr">
        <is>
          <t>CONHEÇA A HISTÓRIA DA VENEZUELANA QUE FUGIU DA CRISE NO PAÍS E TEME FICAR SEM TETO EM SALVADOR POR CAUSA DO CORONAVÍRUS</t>
        </is>
      </c>
      <c r="I985" t="inlineStr">
        <is>
          <t>POUSADA ONDE A ADVOGADA LIZ RAYMONDI TRABALHA NO SANTO ANTÔNIO ALÉM DO CARMO VAI FECHAR AS PORTAS, E ELA JÁ FOI AVISADA QUE FICARÁ SEM EMPREGO.</t>
        </is>
      </c>
      <c r="J985">
        <f>HYPERLINK("https://g1.globo.com/ba/bahia/noticia/2020/05/23/conheca-a-historia-da-venezuelana-que-fugiu-da-crise-no-pais-e-teme-ficar-sem-teto-em-salvador-por-causa-do-coronavirus.ghtml", "URL")</f>
        <v/>
      </c>
      <c r="K985">
        <f>HYPERLINK("https://raw.githubusercontent.com/marcosmapl/dataset_imigrantes/main/noticias_filtered/g1/venezuelanos/2020/04_mai/html/g1_e291afe6-2310-11ed-b24f-6dbe51e79fca_2882.html", "HTML")</f>
        <v/>
      </c>
      <c r="L985">
        <f>HYPERLINK("https://raw.githubusercontent.com/marcosmapl/dataset_imigrantes/main/noticias_filtered/g1/venezuelanos/2020/04_mai/txt/g1_e291afe6-2310-11ed-b24f-6dbe51e79fca_2882.txt", "TXT")</f>
        <v/>
      </c>
    </row>
    <row r="986">
      <c r="A986" s="1" t="n">
        <v>984</v>
      </c>
      <c r="B986" t="n">
        <v>2020</v>
      </c>
      <c r="C986" s="2" t="n">
        <v>43972.95966457176</v>
      </c>
      <c r="D986" t="inlineStr">
        <is>
          <t>G1</t>
        </is>
      </c>
      <c r="E986" t="inlineStr">
        <is>
          <t>VENEZUELANOS</t>
        </is>
      </c>
      <c r="F986" t="inlineStr">
        <is>
          <t>RORAIMA</t>
        </is>
      </c>
      <c r="G986" t="inlineStr">
        <is>
          <t>VALÉRIA OLIVEIRA, G1 RR — BOA VISTA</t>
        </is>
      </c>
      <c r="H986" t="inlineStr">
        <is>
          <t>STF AUTORIZA QUE VENEZUELANO PRESO EM RORAIMA POR TRÁFICO E CONTRABANDO DE OURO SEJA LEVADO À PRESÍDIO FEDERAL</t>
        </is>
      </c>
      <c r="I986" t="inlineStr">
        <is>
          <t>EMPRESÁRIO VENEZUELANO ROBERTO ANTONIO ESPEJO CAMACHO, DE 30 ANOS, ESTÁ PRESO EM BOA VISTA DESDE DEZEMBRO DO ANO PASSADO. ELE ERA PROCURADO POR CRIMES COMETIDOS NA REPÚBLICA DOMINICANA.</t>
        </is>
      </c>
      <c r="J986">
        <f>HYPERLINK("https://g1.globo.com/rr/roraima/noticia/2020/05/21/stf-autoriza-que-venezuelano-preso-em-roraima-por-trafico-e-contrabando-de-ouro-seja-levado-a-presidio-federal.ghtml", "URL")</f>
        <v/>
      </c>
      <c r="K986">
        <f>HYPERLINK("https://raw.githubusercontent.com/marcosmapl/dataset_imigrantes/main/noticias_filtered/g1/venezuelanos/2020/04_mai/html/g1_eba32b2c-230c-11ed-b24f-6dbe51e79fca_2657.html", "HTML")</f>
        <v/>
      </c>
      <c r="L986">
        <f>HYPERLINK("https://raw.githubusercontent.com/marcosmapl/dataset_imigrantes/main/noticias_filtered/g1/venezuelanos/2020/04_mai/txt/g1_eba32b2c-230c-11ed-b24f-6dbe51e79fca_2657.txt", "TXT")</f>
        <v/>
      </c>
    </row>
    <row r="987">
      <c r="A987" s="1" t="n">
        <v>985</v>
      </c>
      <c r="B987" t="n">
        <v>2020</v>
      </c>
      <c r="C987" s="2" t="n">
        <v>43972.84923457176</v>
      </c>
      <c r="D987" t="inlineStr">
        <is>
          <t>G1</t>
        </is>
      </c>
      <c r="E987" t="inlineStr">
        <is>
          <t>VENEZUELANOS</t>
        </is>
      </c>
      <c r="F987" t="inlineStr">
        <is>
          <t>SANTARÉM E REGIÃO</t>
        </is>
      </c>
      <c r="G987" t="inlineStr">
        <is>
          <t>G1 SANTARÉM — PARÁ</t>
        </is>
      </c>
      <c r="H987" t="inlineStr">
        <is>
          <t>MPT DESTINA RECURSO PARA AQUISIÇÃO DE KITS EDUCACIONAIS PARA  VENEZUELANOS EM SANTARÉM</t>
        </is>
      </c>
      <c r="I987" t="inlineStr">
        <is>
          <t>KIT É COMPOSTO POR UMA PASTA, CADERNO COM ORIENTAÇÕES SOBRE A COVID-19, CADERNO DE HISTÓRIAS, CADERNO DE DESENHO, LÁPIS DE COR E MÁSCARA ADULTO E INFANTIL.</t>
        </is>
      </c>
      <c r="J987">
        <f>HYPERLINK("https://g1.globo.com/pa/santarem-regiao/noticia/2020/05/21/mpt-destina-recurso-para-aquisicao-de-kits-educacionais-para-venezuelanos-em-santarem.ghtml", "URL")</f>
        <v/>
      </c>
      <c r="K987">
        <f>HYPERLINK("https://raw.githubusercontent.com/marcosmapl/dataset_imigrantes/main/noticias_filtered/g1/venezuelanos/2020/04_mai/html/g1_e128bf2a-2313-11ed-b24f-6dbe51e79fca_3032.html", "HTML")</f>
        <v/>
      </c>
      <c r="L987">
        <f>HYPERLINK("https://raw.githubusercontent.com/marcosmapl/dataset_imigrantes/main/noticias_filtered/g1/venezuelanos/2020/04_mai/txt/g1_e128bf2a-2313-11ed-b24f-6dbe51e79fca_3032.txt", "TXT")</f>
        <v/>
      </c>
    </row>
    <row r="988">
      <c r="A988" s="1" t="n">
        <v>986</v>
      </c>
      <c r="B988" t="n">
        <v>2020</v>
      </c>
      <c r="C988" s="2" t="n">
        <v>43972.81522701389</v>
      </c>
      <c r="D988" t="inlineStr">
        <is>
          <t>G1</t>
        </is>
      </c>
      <c r="E988" t="inlineStr">
        <is>
          <t>VENEZUELANOS</t>
        </is>
      </c>
      <c r="F988" t="inlineStr">
        <is>
          <t>PERNAMBUCO</t>
        </is>
      </c>
      <c r="G988" t="inlineStr">
        <is>
          <t>G1 PE</t>
        </is>
      </c>
      <c r="H988" t="inlineStr">
        <is>
          <t>INCÊNDIO ATINGE CASA DE IMIGRANTES VENEZUELANOS E DEIXA UM FERIDO NO RECIFE</t>
        </is>
      </c>
      <c r="I988" t="inlineStr">
        <is>
          <t>SEGUNDO BOMBEIROS, HOUVE VAZAMENTO DE GÁS NA RESIDÊNCIA, NA ÁREA CENTRAL DA CIDADE, NESTA QUINTA (21). CÁRITAS INTERNACIONAL DISSE QUE HOMEM TEVE QUEIMADURA NAS PERNAS.</t>
        </is>
      </c>
      <c r="J988">
        <f>HYPERLINK("https://g1.globo.com/pe/pernambuco/noticia/2020/05/21/incendio-atinge-casa-de-imigrantes-venezuelanos-e-deixa-um-ferido-no-recife.ghtml", "URL")</f>
        <v/>
      </c>
      <c r="K988">
        <f>HYPERLINK("https://raw.githubusercontent.com/marcosmapl/dataset_imigrantes/main/noticias_filtered/g1/venezuelanos/2020/04_mai/html/g1_76e183ce-231b-11ed-b24f-6dbe51e79fca_3387.html", "HTML")</f>
        <v/>
      </c>
      <c r="L988">
        <f>HYPERLINK("https://raw.githubusercontent.com/marcosmapl/dataset_imigrantes/main/noticias_filtered/g1/venezuelanos/2020/04_mai/txt/g1_76e183ce-231b-11ed-b24f-6dbe51e79fca_3387.txt", "TXT")</f>
        <v/>
      </c>
    </row>
    <row r="989">
      <c r="A989" s="1" t="n">
        <v>987</v>
      </c>
      <c r="B989" t="n">
        <v>2020</v>
      </c>
      <c r="C989" s="2" t="n">
        <v>43971.6096412037</v>
      </c>
      <c r="D989" t="inlineStr">
        <is>
          <t>A CRITICA</t>
        </is>
      </c>
      <c r="E989" t="inlineStr">
        <is>
          <t>VENEZUELANOS</t>
        </is>
      </c>
      <c r="F989" t="inlineStr"/>
      <c r="G989" t="inlineStr">
        <is>
          <t>AFP</t>
        </is>
      </c>
      <c r="H989" t="inlineStr">
        <is>
          <t>VENEZUELA PRORROGA TOQUE DE RECOLHER NA FRONTEIRA COM COLÔMBIA E BRASIL</t>
        </is>
      </c>
      <c r="I989" t="inlineStr">
        <is>
          <t>A MEDIDA FOI TOMADA DEPOIS QUE O PRESIDENTE NICOLÁS MADURO ORDENOU UM TOQUE DE RECOLHER COM AS MESMAS CARACTERÍSTICAS NA SEGUNDA-FEIRA (18) NO MUNICÍPIO DE PÁEZ, NO ESTADO DE APURE (OESTE), NA FRONTEIRA COM A COLÔMBIA</t>
        </is>
      </c>
      <c r="J989">
        <f>HYPERLINK("https://www.acritica.com/venezuela-prorroga-toque-de-recolher-na-fronteira-com-colombia-e-brasil-1.41336", "URL")</f>
        <v/>
      </c>
      <c r="K989">
        <f>HYPERLINK("https://raw.githubusercontent.com/marcosmapl/dataset_imigrantes/main/noticias_filtered/a_critica/venezuelanos/2020/04_mai/html/1.41336_678.html", "HTML")</f>
        <v/>
      </c>
      <c r="L989">
        <f>HYPERLINK("https://raw.githubusercontent.com/marcosmapl/dataset_imigrantes/main/noticias_filtered/a_critica/venezuelanos/2020/04_mai/txt/1.41336_678.txt", "TXT")</f>
        <v/>
      </c>
    </row>
    <row r="990">
      <c r="A990" s="1" t="n">
        <v>988</v>
      </c>
      <c r="B990" t="n">
        <v>2020</v>
      </c>
      <c r="C990" s="2" t="n">
        <v>43968.14305555556</v>
      </c>
      <c r="D990" t="inlineStr">
        <is>
          <t>A CRITICA</t>
        </is>
      </c>
      <c r="E990" t="inlineStr">
        <is>
          <t>VENEZUELANOS</t>
        </is>
      </c>
      <c r="F990" t="inlineStr">
        <is>
          <t>POLICIA</t>
        </is>
      </c>
      <c r="G990" t="inlineStr">
        <is>
          <t>JAN NOGUEIRA</t>
        </is>
      </c>
      <c r="H990" t="inlineStr">
        <is>
          <t>RAFAEL CONTA DETALHES DO CRIME E DISPENSA ADVOGADOS AO CHEGAR EM MANAUS</t>
        </is>
      </c>
      <c r="I990" t="inlineStr">
        <is>
          <t>SUSPEITO DISSE TER IDO PARA A CAMA COM A VÍTIMA, COM UMA FACA ESCONDIDA; ELE SE DIZ CULPADO PELA MORTE DO PAI, QUE O ACONSELHOU A SE ENTREGAR ANTES DE COMETER SUICÍDIO</t>
        </is>
      </c>
      <c r="J990">
        <f>HYPERLINK("https://www.acritica.com/policia/rafael-conta-detalhes-do-crime-e-dispensa-advogados-ao-chegar-em-manaus-1.41717", "URL")</f>
        <v/>
      </c>
      <c r="K990">
        <f>HYPERLINK("https://raw.githubusercontent.com/marcosmapl/dataset_imigrantes/main/noticias_filtered/a_critica/venezuelanos/2020/04_mai/html/1.41717_179.html", "HTML")</f>
        <v/>
      </c>
      <c r="L990">
        <f>HYPERLINK("https://raw.githubusercontent.com/marcosmapl/dataset_imigrantes/main/noticias_filtered/a_critica/venezuelanos/2020/04_mai/txt/1.41717_179.txt", "TXT")</f>
        <v/>
      </c>
    </row>
    <row r="991">
      <c r="A991" s="1" t="n">
        <v>989</v>
      </c>
      <c r="B991" t="n">
        <v>2020</v>
      </c>
      <c r="C991" s="2" t="n">
        <v>43968.03306712963</v>
      </c>
      <c r="D991" t="inlineStr">
        <is>
          <t>A CRITICA</t>
        </is>
      </c>
      <c r="E991" t="inlineStr">
        <is>
          <t>VENEZUELANOS</t>
        </is>
      </c>
      <c r="F991" t="inlineStr">
        <is>
          <t>POLICIA</t>
        </is>
      </c>
      <c r="G991" t="inlineStr">
        <is>
          <t>JAN NOGUEIRA</t>
        </is>
      </c>
      <c r="H991" t="inlineStr">
        <is>
          <t>PRINCIPAL SUSPEITO PELA MORTE DE MISS MANICORÉ CHEGA A MANAUS</t>
        </is>
      </c>
      <c r="I991" t="inlineStr">
        <is>
          <t>O ANALISTA JUDICIÁRIO RAFAEL FERNANDEZ, 31 ANOS, CHEGOU NA SEDE DA DELEGACIA ESPECIALIZADA EM HOMICÍDIOS E SEQUESTROS (DEHS) POR VOLTA DAS 21H35 DE HOJE (16). SEGUNDO A POLÍCIA CIVIL DE RORAIMA, O SUSPEITO CONFESSOU A AUTORIA DO CRIME</t>
        </is>
      </c>
      <c r="J991">
        <f>HYPERLINK("https://www.acritica.com/policia/principal-suspeito-pela-morte-de-miss-manicore-chega-a-manaus-1.41720", "URL")</f>
        <v/>
      </c>
      <c r="K991">
        <f>HYPERLINK("https://raw.githubusercontent.com/marcosmapl/dataset_imigrantes/main/noticias_filtered/a_critica/venezuelanos/2020/04_mai/html/1.41720_568.html", "HTML")</f>
        <v/>
      </c>
      <c r="L991">
        <f>HYPERLINK("https://raw.githubusercontent.com/marcosmapl/dataset_imigrantes/main/noticias_filtered/a_critica/venezuelanos/2020/04_mai/txt/1.41720_568.txt", "TXT")</f>
        <v/>
      </c>
    </row>
    <row r="992">
      <c r="A992" s="1" t="n">
        <v>990</v>
      </c>
      <c r="B992" t="n">
        <v>2020</v>
      </c>
      <c r="C992" s="2" t="n">
        <v>43967.84976489584</v>
      </c>
      <c r="D992" t="inlineStr">
        <is>
          <t>G1</t>
        </is>
      </c>
      <c r="E992" t="inlineStr">
        <is>
          <t>VENEZUELANOS</t>
        </is>
      </c>
      <c r="F992" t="inlineStr">
        <is>
          <t>POLÍTICA</t>
        </is>
      </c>
      <c r="G992" t="inlineStr">
        <is>
          <t>MÁRCIO FALCÃO E FERNANDA VIVAS, TV GLOBO</t>
        </is>
      </c>
      <c r="H992" t="inlineStr">
        <is>
          <t>DIPLOMATAS VENEZUELANOS NÃO PODEM SER EXPULSOS ENQUANTO DURAR PANDEMIA, REAFIRMA BARROSO</t>
        </is>
      </c>
      <c r="I992" t="inlineStr">
        <is>
          <t>MINISTRO DO STF É RELATOR DE RECURSO AO TRIBUNAL PARA EVITAR RETIRADA DOS VENEZUELANOS DO PAÍS. ELE ENTENDE QUE ISSO NÃO JUSTIFICA ROMPER ISOLAMENTO SOCIAL RECOMENDADO PELA OMS.</t>
        </is>
      </c>
      <c r="J992">
        <f>HYPERLINK("https://g1.globo.com/politica/noticia/2020/05/16/barroso-confirma-que-diplomatas-venezuelanos-nao-podem-ser-expulsos-do-brasil-enquanto-durar-estado-de-calamidade.ghtml", "URL")</f>
        <v/>
      </c>
      <c r="K992">
        <f>HYPERLINK("https://raw.githubusercontent.com/marcosmapl/dataset_imigrantes/main/noticias_filtered/g1/venezuelanos/2020/04_mai/html/g1_deeb194c-2318-11ed-b24f-6dbe51e79fca_3285.html", "HTML")</f>
        <v/>
      </c>
      <c r="L992">
        <f>HYPERLINK("https://raw.githubusercontent.com/marcosmapl/dataset_imigrantes/main/noticias_filtered/g1/venezuelanos/2020/04_mai/txt/g1_deeb194c-2318-11ed-b24f-6dbe51e79fca_3285.txt", "TXT")</f>
        <v/>
      </c>
    </row>
    <row r="993">
      <c r="A993" s="1" t="n">
        <v>991</v>
      </c>
      <c r="B993" t="n">
        <v>2020</v>
      </c>
      <c r="C993" s="2" t="n">
        <v>43967.82203481482</v>
      </c>
      <c r="D993" t="inlineStr">
        <is>
          <t>G1</t>
        </is>
      </c>
      <c r="E993" t="inlineStr">
        <is>
          <t>HAITIANOS</t>
        </is>
      </c>
      <c r="F993" t="inlineStr">
        <is>
          <t>RIO GRANDE DO SUL</t>
        </is>
      </c>
      <c r="G993" t="inlineStr">
        <is>
          <t>RBS TV</t>
        </is>
      </c>
      <c r="H993" t="inlineStr">
        <is>
          <t>SALDANHA MARINHO, ENCANTADO E SANTA MARIA REGISTRAM MORTES POR COVID-19, SEGUNDO PREFEITURAS</t>
        </is>
      </c>
      <c r="I993" t="inlineStr">
        <is>
          <t>UMA DAS MORTES É DE UM HAITIANO DE 40 ANOS, MORADOR DE ENCANTADO E QUE ESTAVA INTERNADO NO HOSPITAL UNIVERSITÁRIO DE SANTA MARIA.</t>
        </is>
      </c>
      <c r="J993">
        <f>HYPERLINK("https://g1.globo.com/rs/rio-grande-do-sul/noticia/2020/05/16/santa-maria-e-encantado-registram-mortes-por-covid-19-segundo-prefeituras.ghtml", "URL")</f>
        <v/>
      </c>
      <c r="K993">
        <f>HYPERLINK("https://raw.githubusercontent.com/marcosmapl/dataset_imigrantes/main/noticias_filtered/g1/haitianos/2020/04_mai/html/g1_8461079a-2307-11ed-b24f-6dbe51e79fca_2323.html", "HTML")</f>
        <v/>
      </c>
      <c r="L993">
        <f>HYPERLINK("https://raw.githubusercontent.com/marcosmapl/dataset_imigrantes/main/noticias_filtered/g1/haitianos/2020/04_mai/txt/g1_8461079a-2307-11ed-b24f-6dbe51e79fca_2323.txt", "TXT")</f>
        <v/>
      </c>
    </row>
    <row r="994">
      <c r="A994" s="1" t="n">
        <v>992</v>
      </c>
      <c r="B994" t="n">
        <v>2020</v>
      </c>
      <c r="C994" s="2" t="n">
        <v>43967.76408564814</v>
      </c>
      <c r="D994" t="inlineStr">
        <is>
          <t>A CRITICA</t>
        </is>
      </c>
      <c r="E994" t="inlineStr">
        <is>
          <t>VENEZUELANOS</t>
        </is>
      </c>
      <c r="F994" t="inlineStr"/>
      <c r="G994" t="inlineStr">
        <is>
          <t>AGÊNCIA BRASIL</t>
        </is>
      </c>
      <c r="H994" t="inlineStr">
        <is>
          <t>GENERAL DO EB ASSUME MINISTÉRIO DA SAÚDE INTERINAMENTE</t>
        </is>
      </c>
      <c r="I994" t="inlineStr">
        <is>
          <t>ESPECIALISTA EM LOGÍSTICA, O GENERAL PAZUELLO FOI NOMEADO PARA O SEGUNDO CARGO MAIS ALTO DA HIERARQUIA MINISTERIAL NO ÚLTIMO DIA 22, APÓS TEICH ASSUMIR O MINISTÉRIO NO LUGAR DE LUIZ HENRIQUE MANDETTA</t>
        </is>
      </c>
      <c r="J994">
        <f>HYPERLINK("https://www.acritica.com/general-do-eb-assume-ministerio-da-saude-interinamente-1.41757", "URL")</f>
        <v/>
      </c>
      <c r="K994">
        <f>HYPERLINK("https://raw.githubusercontent.com/marcosmapl/dataset_imigrantes/main/noticias_filtered/a_critica/venezuelanos/2020/04_mai/html/1.41757_681.html", "HTML")</f>
        <v/>
      </c>
      <c r="L994">
        <f>HYPERLINK("https://raw.githubusercontent.com/marcosmapl/dataset_imigrantes/main/noticias_filtered/a_critica/venezuelanos/2020/04_mai/txt/1.41757_681.txt", "TXT")</f>
        <v/>
      </c>
    </row>
    <row r="995">
      <c r="A995" s="1" t="n">
        <v>993</v>
      </c>
      <c r="B995" t="n">
        <v>2020</v>
      </c>
      <c r="C995" s="2" t="n">
        <v>43966.89444444444</v>
      </c>
      <c r="D995" t="inlineStr">
        <is>
          <t>A CRITICA</t>
        </is>
      </c>
      <c r="E995" t="inlineStr">
        <is>
          <t>VENEZUELANOS</t>
        </is>
      </c>
      <c r="F995" t="inlineStr">
        <is>
          <t>POLICIA</t>
        </is>
      </c>
      <c r="G995" t="inlineStr">
        <is>
          <t>JOANA QUEIROZ</t>
        </is>
      </c>
      <c r="H995" t="inlineStr">
        <is>
          <t>RAFAEL ESTAVA EM PACARAIMA TENTANDO FAZER AMIZADES COM VENEZUELANOS</t>
        </is>
      </c>
      <c r="I995" t="inlineStr">
        <is>
          <t>COMANDANTE DISSE QUE SUSPEITO DE MATAR A MISS MANICORÉ KIMBERLY KAREN MOTA, 22, ACREDITAVA QUE VENEZUELANOS PODERIAM FACILITAR SEU ACESSO AO PAÍS</t>
        </is>
      </c>
      <c r="J995">
        <f>HYPERLINK("https://www.acritica.com/policia/rafael-estava-em-pacaraima-tentando-fazer-amizades-com-venezuelanos-1.41718", "URL")</f>
        <v/>
      </c>
      <c r="K995">
        <f>HYPERLINK("https://raw.githubusercontent.com/marcosmapl/dataset_imigrantes/main/noticias_filtered/a_critica/venezuelanos/2020/04_mai/html/1.41718_87.html", "HTML")</f>
        <v/>
      </c>
      <c r="L995">
        <f>HYPERLINK("https://raw.githubusercontent.com/marcosmapl/dataset_imigrantes/main/noticias_filtered/a_critica/venezuelanos/2020/04_mai/txt/1.41718_87.txt", "TXT")</f>
        <v/>
      </c>
    </row>
    <row r="996">
      <c r="A996" s="1" t="n">
        <v>994</v>
      </c>
      <c r="B996" t="n">
        <v>2020</v>
      </c>
      <c r="C996" s="2" t="n">
        <v>43966.57488883102</v>
      </c>
      <c r="D996" t="inlineStr">
        <is>
          <t>G1</t>
        </is>
      </c>
      <c r="E996" t="inlineStr">
        <is>
          <t>VENEZUELANOS</t>
        </is>
      </c>
      <c r="F996" t="inlineStr">
        <is>
          <t>PARAÍBA</t>
        </is>
      </c>
      <c r="G996" t="inlineStr">
        <is>
          <t>G1 PB</t>
        </is>
      </c>
      <c r="H996" t="inlineStr">
        <is>
          <t>MPF ABRE INQUÉRITO PARA ACOMPANHAR SITUAÇÃO DE REFUGIADOS VENEZUELANOS EM CAMPINA GRANDE</t>
        </is>
      </c>
      <c r="I996" t="inlineStr">
        <is>
          <t>PROCEDIMENTO É PARA ACOMPANHAR SITUAÇÃO DOS REFUGIADOS ENVIADOS PARA CAMPINA GRANDE DURANTE O PERÍODO DE PANDEMIA.</t>
        </is>
      </c>
      <c r="J996">
        <f>HYPERLINK("https://g1.globo.com/pb/paraiba/noticia/2020/05/15/mpf-abre-inquerito-para-acompanhar-situacao-de-refugiados-venezuelanos-em-campina-grande.ghtml", "URL")</f>
        <v/>
      </c>
      <c r="K996">
        <f>HYPERLINK("https://raw.githubusercontent.com/marcosmapl/dataset_imigrantes/main/noticias_filtered/g1/venezuelanos/2020/04_mai/html/g1_57472dce-2326-11ed-b24f-6dbe51e79fca_3970.html", "HTML")</f>
        <v/>
      </c>
      <c r="L996">
        <f>HYPERLINK("https://raw.githubusercontent.com/marcosmapl/dataset_imigrantes/main/noticias_filtered/g1/venezuelanos/2020/04_mai/txt/g1_57472dce-2326-11ed-b24f-6dbe51e79fca_3970.txt", "TXT")</f>
        <v/>
      </c>
    </row>
    <row r="997">
      <c r="A997" s="1" t="n">
        <v>995</v>
      </c>
      <c r="B997" t="n">
        <v>2020</v>
      </c>
      <c r="C997" s="2" t="n">
        <v>43964.9773037037</v>
      </c>
      <c r="D997" t="inlineStr">
        <is>
          <t>G1</t>
        </is>
      </c>
      <c r="E997" t="inlineStr">
        <is>
          <t>HAITIANOS</t>
        </is>
      </c>
      <c r="F997" t="inlineStr">
        <is>
          <t>RIO GRANDE DO SUL</t>
        </is>
      </c>
      <c r="G997" t="inlineStr">
        <is>
          <t>G1 RS</t>
        </is>
      </c>
      <c r="H997" t="inlineStr">
        <is>
          <t>'ELE VEIO BUSCAR UMA VIDA MELHOR', DIZ AMIGO DE HAITIANO MORTO POR CORONAVÍRUS EM VILA MARIA</t>
        </is>
      </c>
      <c r="I997" t="inlineStr">
        <is>
          <t>JEAN HUIGUES PAUL FALECEU NO ÚLTIMO FINAL DE SEMANA. CONFORME AMIGO, ELE TINHA ESPOSA E FILHOS NO HAITI, E USAVA DOCUMENTOS DE OUTRO FAMILIAR.</t>
        </is>
      </c>
      <c r="J997">
        <f>HYPERLINK("https://g1.globo.com/rs/rio-grande-do-sul/noticia/2020/05/13/ele-veio-buscar-uma-vida-melhor-diz-amigo-de-haitiano-morto-por-coronavirus-em-vila-maria.ghtml", "URL")</f>
        <v/>
      </c>
      <c r="K997">
        <f>HYPERLINK("https://raw.githubusercontent.com/marcosmapl/dataset_imigrantes/main/noticias_filtered/g1/haitianos/2020/04_mai/html/g1_af5310a4-22f0-11ed-b24f-6dbe51e79fca_1715.html", "HTML")</f>
        <v/>
      </c>
      <c r="L997">
        <f>HYPERLINK("https://raw.githubusercontent.com/marcosmapl/dataset_imigrantes/main/noticias_filtered/g1/haitianos/2020/04_mai/txt/g1_af5310a4-22f0-11ed-b24f-6dbe51e79fca_1715.txt", "TXT")</f>
        <v/>
      </c>
    </row>
    <row r="998">
      <c r="A998" s="1" t="n">
        <v>996</v>
      </c>
      <c r="B998" t="n">
        <v>2020</v>
      </c>
      <c r="C998" s="2" t="n">
        <v>43964.66964368056</v>
      </c>
      <c r="D998" t="inlineStr">
        <is>
          <t>G1</t>
        </is>
      </c>
      <c r="E998" t="inlineStr">
        <is>
          <t>VENEZUELANOS</t>
        </is>
      </c>
      <c r="F998" t="inlineStr">
        <is>
          <t>RORAIMA</t>
        </is>
      </c>
      <c r="G998" t="inlineStr">
        <is>
          <t>G1 RR — BOA VISTA</t>
        </is>
      </c>
      <c r="H998" t="inlineStr">
        <is>
          <t>CORPO ENCONTRADO COM PERFURAÇÃO NO PESCOÇO E MÃOS AMARRADAS ERA DE ADOLESCENTE VENEZUELANO</t>
        </is>
      </c>
      <c r="I998" t="inlineStr">
        <is>
          <t>VÍTIMA FOI RECONHECIDA PELA PRÓPRIA MÃE, INFORMOU EM NOTA A OPERAÇÃO ACOLHIDA.</t>
        </is>
      </c>
      <c r="J998">
        <f>HYPERLINK("https://g1.globo.com/rr/roraima/noticia/2020/05/13/corpo-encontrado-com-perfuracao-no-pescoco-e-maos-amarradas-era-de-adolescente-venezuelano.ghtml", "URL")</f>
        <v/>
      </c>
      <c r="K998">
        <f>HYPERLINK("https://raw.githubusercontent.com/marcosmapl/dataset_imigrantes/main/noticias_filtered/g1/venezuelanos/2020/04_mai/html/g1_76ceb622-230c-11ed-b24f-6dbe51e79fca_2626.html", "HTML")</f>
        <v/>
      </c>
      <c r="L998">
        <f>HYPERLINK("https://raw.githubusercontent.com/marcosmapl/dataset_imigrantes/main/noticias_filtered/g1/venezuelanos/2020/04_mai/txt/g1_76ceb622-230c-11ed-b24f-6dbe51e79fca_2626.txt", "TXT")</f>
        <v/>
      </c>
    </row>
    <row r="999">
      <c r="A999" s="1" t="n">
        <v>997</v>
      </c>
      <c r="B999" t="n">
        <v>2020</v>
      </c>
      <c r="C999" s="2" t="n">
        <v>43964.00290524305</v>
      </c>
      <c r="D999" t="inlineStr">
        <is>
          <t>G1</t>
        </is>
      </c>
      <c r="E999" t="inlineStr">
        <is>
          <t>VENEZUELANOS</t>
        </is>
      </c>
      <c r="F999" t="inlineStr">
        <is>
          <t>POLÍTICA</t>
        </is>
      </c>
      <c r="G999" t="inlineStr">
        <is>
          <t>FERNANDA VIVAS E MÁRCIO FALCÃO, TV GLOBO — BRASÍLIA</t>
        </is>
      </c>
      <c r="H999" t="inlineStr">
        <is>
          <t>ARAS DIZ AO STF QUE CABE AO STJ ANALISAR DECISÃO DO ITAMARATY DE EXPULSAR DIPLOMATAS VENEZUELANOS</t>
        </is>
      </c>
      <c r="I999" t="inlineStr">
        <is>
          <t>MINISTÉRIO DAS RELAÇÕES EXTERIORES INFORMOU À EMBAIXADA DA VENEZUELA QUE DIPLOMATAS TINHAM ATÉ 2 DE MAIO PARA DEIXAR O BRASIL, MAS MINISTRO DO STF SUSPENDEU DECISÃO.</t>
        </is>
      </c>
      <c r="J999">
        <f>HYPERLINK("https://g1.globo.com/politica/noticia/2020/05/12/aras-diz-ao-stf-que-cabe-ao-stj-analisar-decisao-do-itamaraty-de-expulsar-diplomatas-venezuelanos.ghtml", "URL")</f>
        <v/>
      </c>
      <c r="K999">
        <f>HYPERLINK("https://raw.githubusercontent.com/marcosmapl/dataset_imigrantes/main/noticias_filtered/g1/venezuelanos/2020/04_mai/html/g1_f1b6da2c-2316-11ed-b24f-6dbe51e79fca_3179.html", "HTML")</f>
        <v/>
      </c>
      <c r="L999">
        <f>HYPERLINK("https://raw.githubusercontent.com/marcosmapl/dataset_imigrantes/main/noticias_filtered/g1/venezuelanos/2020/04_mai/txt/g1_f1b6da2c-2316-11ed-b24f-6dbe51e79fca_3179.txt", "TXT")</f>
        <v/>
      </c>
    </row>
    <row r="1000">
      <c r="A1000" s="1" t="n">
        <v>998</v>
      </c>
      <c r="B1000" t="n">
        <v>2020</v>
      </c>
      <c r="C1000" s="2" t="n">
        <v>43963.86609771991</v>
      </c>
      <c r="D1000" t="inlineStr">
        <is>
          <t>G1</t>
        </is>
      </c>
      <c r="E1000" t="inlineStr">
        <is>
          <t>HAITIANOS</t>
        </is>
      </c>
      <c r="F1000" t="inlineStr">
        <is>
          <t>RIO GRANDE DO SUL</t>
        </is>
      </c>
      <c r="G1000" t="inlineStr">
        <is>
          <t>G1 RS</t>
        </is>
      </c>
      <c r="H1000" t="inlineStr">
        <is>
          <t>IMIGRANTE HAITIANO DE 70 ANOS É A PRIMEIRA MORTE POR CORONAVÍRUS DE VILA MARIA, DIZ PREFEITURA</t>
        </is>
      </c>
      <c r="I1000" t="inlineStr">
        <is>
          <t>HOMEM, CUJA IDENTIDADE NÃO FOI DIVULGADA, TINHA DIABETES E MORREU EM HOSPITAL DE PASSO FUNDO, NO SÁBADO (9).</t>
        </is>
      </c>
      <c r="J1000">
        <f>HYPERLINK("https://g1.globo.com/rs/rio-grande-do-sul/noticia/2020/05/12/imigrante-haitiano-de-70-anos-e-a-primeira-morte-de-coronavirus-de-vila-maria-diz-prefeitura.ghtml", "URL")</f>
        <v/>
      </c>
      <c r="K1000">
        <f>HYPERLINK("https://raw.githubusercontent.com/marcosmapl/dataset_imigrantes/main/noticias_filtered/g1/haitianos/2020/04_mai/html/g1_dfac8976-22f8-11ed-b24f-6dbe51e79fca_2163.html", "HTML")</f>
        <v/>
      </c>
      <c r="L1000">
        <f>HYPERLINK("https://raw.githubusercontent.com/marcosmapl/dataset_imigrantes/main/noticias_filtered/g1/haitianos/2020/04_mai/txt/g1_dfac8976-22f8-11ed-b24f-6dbe51e79fca_2163.txt", "TXT")</f>
        <v/>
      </c>
    </row>
    <row r="1001">
      <c r="A1001" s="1" t="n">
        <v>999</v>
      </c>
      <c r="B1001" t="n">
        <v>2020</v>
      </c>
      <c r="C1001" s="2" t="n">
        <v>43963.84919313657</v>
      </c>
      <c r="D1001" t="inlineStr">
        <is>
          <t>G1</t>
        </is>
      </c>
      <c r="E1001" t="inlineStr">
        <is>
          <t>VENEZUELANOS</t>
        </is>
      </c>
      <c r="F1001" t="inlineStr">
        <is>
          <t>RORAIMA</t>
        </is>
      </c>
      <c r="G1001" t="inlineStr">
        <is>
          <t>SUZANNE OLIVEIRA, G1 RR — BOA VISTA</t>
        </is>
      </c>
      <c r="H1001" t="inlineStr">
        <is>
          <t>MAIS DOIS VENEZUELANOS MORREM POR CORONAVÍRUS EM RR</t>
        </is>
      </c>
      <c r="I1001" t="inlineStr">
        <is>
          <t>FORAM REGISTRADOS TRÊS ÓBITOS EM DECORRÊNCIA DA DOENÇA, NESTA SEGUNDA-FEIRA (11), INFORMOU A SESAU. DESTES, DOIS ERAM IMIGRANTES VENEZUELANOS IDOSOS.</t>
        </is>
      </c>
      <c r="J1001">
        <f>HYPERLINK("https://g1.globo.com/rr/roraima/noticia/2020/05/12/mais-dois-venezuelanos-morrem-por-coronavirus-em-rr.ghtml", "URL")</f>
        <v/>
      </c>
      <c r="K1001">
        <f>HYPERLINK("https://raw.githubusercontent.com/marcosmapl/dataset_imigrantes/main/noticias_filtered/g1/venezuelanos/2020/04_mai/html/g1_d29d1c30-2309-11ed-b24f-6dbe51e79fca_2466.html", "HTML")</f>
        <v/>
      </c>
      <c r="L1001">
        <f>HYPERLINK("https://raw.githubusercontent.com/marcosmapl/dataset_imigrantes/main/noticias_filtered/g1/venezuelanos/2020/04_mai/txt/g1_d29d1c30-2309-11ed-b24f-6dbe51e79fca_2466.txt", "TXT")</f>
        <v/>
      </c>
    </row>
    <row r="1002">
      <c r="A1002" s="1" t="n">
        <v>1000</v>
      </c>
      <c r="B1002" t="n">
        <v>2020</v>
      </c>
      <c r="C1002" s="2" t="n">
        <v>43962.82500138889</v>
      </c>
      <c r="D1002" t="inlineStr">
        <is>
          <t>G1</t>
        </is>
      </c>
      <c r="E1002" t="inlineStr">
        <is>
          <t>VENEZUELANOS</t>
        </is>
      </c>
      <c r="F1002" t="inlineStr">
        <is>
          <t>GOIÁS</t>
        </is>
      </c>
      <c r="G1002" t="inlineStr">
        <is>
          <t>GUILHERME RODRIGUES, TV ANHANGUERA</t>
        </is>
      </c>
      <c r="H1002" t="inlineStr">
        <is>
          <t>VENEZUELANA SE DESESPERA COM FURTO DE FOOD TRUCK EM RUA DE GOIÂNIA: 'ESTOU SEM ACREDITAR'</t>
        </is>
      </c>
      <c r="I1002" t="inlineStr">
        <is>
          <t>VEÍCULO ESTAVA ESTACIONADO NA PORTA DA CASA DA PROPRIETÁRIA DESDE O INÍCIO DO ISOLAMENTO SOCIAL. CARRO ERA USADO PARA VENDA DE SANDUÍCHES, ÚNICA RENDA DA FAMÍLIA.</t>
        </is>
      </c>
      <c r="J1002">
        <f>HYPERLINK("https://g1.globo.com/go/goias/noticia/2020/05/11/criminosos-roubam-carrinho-de-food-truck-em-rua-de-goiania.ghtml", "URL")</f>
        <v/>
      </c>
      <c r="K1002">
        <f>HYPERLINK("https://raw.githubusercontent.com/marcosmapl/dataset_imigrantes/main/noticias_filtered/g1/venezuelanos/2020/04_mai/html/g1_1ea42536-2320-11ed-b24f-6dbe51e79fca_3664.html", "HTML")</f>
        <v/>
      </c>
      <c r="L1002">
        <f>HYPERLINK("https://raw.githubusercontent.com/marcosmapl/dataset_imigrantes/main/noticias_filtered/g1/venezuelanos/2020/04_mai/txt/g1_1ea42536-2320-11ed-b24f-6dbe51e79fca_3664.txt", "TXT")</f>
        <v/>
      </c>
    </row>
    <row r="1003">
      <c r="A1003" s="1" t="n">
        <v>1001</v>
      </c>
      <c r="B1003" t="n">
        <v>2020</v>
      </c>
      <c r="C1003" s="2" t="n">
        <v>43962.67763318287</v>
      </c>
      <c r="D1003" t="inlineStr">
        <is>
          <t>G1</t>
        </is>
      </c>
      <c r="E1003" t="inlineStr">
        <is>
          <t>VENEZUELANOS</t>
        </is>
      </c>
      <c r="F1003" t="inlineStr">
        <is>
          <t>RORAIMA</t>
        </is>
      </c>
      <c r="G1003" t="inlineStr">
        <is>
          <t>G1 RR — BOA VISTA</t>
        </is>
      </c>
      <c r="H1003" t="inlineStr">
        <is>
          <t>INDÍGENA VENEZUELANA MORRE DE CORONAVÍRUS EM RORAIMA</t>
        </is>
      </c>
      <c r="I1003" t="inlineStr">
        <is>
          <t>MULHER DA ETNIA WARAO, DE 59 ANOS, FICOU 10 DIAS INTERNADA NO HOSPITAL GERAL DE RORAIMA.</t>
        </is>
      </c>
      <c r="J1003">
        <f>HYPERLINK("https://g1.globo.com/rr/roraima/noticia/2020/05/11/indigena-venezuelana-morre-de-coronavirus-em-roraima.ghtml", "URL")</f>
        <v/>
      </c>
      <c r="K1003">
        <f>HYPERLINK("https://raw.githubusercontent.com/marcosmapl/dataset_imigrantes/main/noticias_filtered/g1/venezuelanos/2020/04_mai/html/g1_c9697b5a-2326-11ed-b24f-6dbe51e79fca_3998.html", "HTML")</f>
        <v/>
      </c>
      <c r="L1003">
        <f>HYPERLINK("https://raw.githubusercontent.com/marcosmapl/dataset_imigrantes/main/noticias_filtered/g1/venezuelanos/2020/04_mai/txt/g1_c9697b5a-2326-11ed-b24f-6dbe51e79fca_3998.txt", "TXT")</f>
        <v/>
      </c>
    </row>
    <row r="1004">
      <c r="A1004" s="1" t="n">
        <v>1002</v>
      </c>
      <c r="B1004" t="n">
        <v>2020</v>
      </c>
      <c r="C1004" s="2" t="n">
        <v>43962.51307870371</v>
      </c>
      <c r="D1004" t="inlineStr">
        <is>
          <t>A CRITICA</t>
        </is>
      </c>
      <c r="E1004" t="inlineStr">
        <is>
          <t>VENEZUELANOS</t>
        </is>
      </c>
      <c r="F1004" t="inlineStr">
        <is>
          <t>SAUDE</t>
        </is>
      </c>
      <c r="G1004" t="inlineStr">
        <is>
          <t>AGÊNCIA BRASIL</t>
        </is>
      </c>
      <c r="H1004" t="inlineStr">
        <is>
          <t>REFUGIADOS E IMIGRANTES PROMOVEM CURSOS ONLINE DURANTE ISOLAMENTO</t>
        </is>
      </c>
      <c r="I1004" t="inlineStr">
        <is>
          <t>STARTUP MIGRAFLIX DE ROSALVA CARDONA E LESTER SILVA, QUE CHEGOU AO BRASIL EM 2015 PROMOVE TROCAS CULTURAIS NO AMBIENTE VIRTUAL</t>
        </is>
      </c>
      <c r="J1004">
        <f>HYPERLINK("https://www.acritica.com/saude/refugiados-e-imigrantes-promovem-cursos-online-durante-isolamento-1.42020", "URL")</f>
        <v/>
      </c>
      <c r="K1004">
        <f>HYPERLINK("https://raw.githubusercontent.com/marcosmapl/dataset_imigrantes/main/noticias_filtered/a_critica/venezuelanos/2020/04_mai/html/1.42020_222.html", "HTML")</f>
        <v/>
      </c>
      <c r="L1004">
        <f>HYPERLINK("https://raw.githubusercontent.com/marcosmapl/dataset_imigrantes/main/noticias_filtered/a_critica/venezuelanos/2020/04_mai/txt/1.42020_222.txt", "TXT")</f>
        <v/>
      </c>
    </row>
    <row r="1005">
      <c r="A1005" s="1" t="n">
        <v>1003</v>
      </c>
      <c r="B1005" t="n">
        <v>2020</v>
      </c>
      <c r="C1005" s="2" t="n">
        <v>43962.42708333334</v>
      </c>
      <c r="D1005" t="inlineStr">
        <is>
          <t>PORTAL AMAZONIA</t>
        </is>
      </c>
      <c r="E1005" t="inlineStr">
        <is>
          <t>VENEZUELANOS</t>
        </is>
      </c>
      <c r="F1005" t="inlineStr">
        <is>
          <t>CULTURA,GASTRONOMIA,AMAZÔNIA INTERNACIONAL</t>
        </is>
      </c>
      <c r="G1005" t="inlineStr">
        <is>
          <t>PORTAL AMAZÔNIA, COM INFORMAÇÕES DA AGÊNCIA BRASIL</t>
        </is>
      </c>
      <c r="H1005" t="inlineStr">
        <is>
          <t>REFUGIADOS E IMIGRANTES PROMOVEM CURSOS ONLINE DURANTE ISOLAMENTO</t>
        </is>
      </c>
      <c r="I1005" t="inlineStr">
        <is>
          <t>COM A COVID-19, ELES PASSARAM A TER DIFICULDADES PARA GARANTIR RENDA.</t>
        </is>
      </c>
      <c r="J1005">
        <f>HYPERLINK("https://portalamazonia.com/cultura/gastronomia/refugiados-e-imigrantes-promovem-cursos-online-durante-isolamento", "URL")</f>
        <v/>
      </c>
      <c r="K1005">
        <f>HYPERLINK("https://raw.githubusercontent.com/marcosmapl/dataset_imigrantes/main/noticias_filtered/portal_amazonia/venezuelanos/2020/04_mai/html/26714.35749_1469.html", "HTML")</f>
        <v/>
      </c>
      <c r="L1005">
        <f>HYPERLINK("https://raw.githubusercontent.com/marcosmapl/dataset_imigrantes/main/noticias_filtered/portal_amazonia/venezuelanos/2020/04_mai/txt/26714.35749_1469.txt", "TXT")</f>
        <v/>
      </c>
    </row>
    <row r="1006">
      <c r="A1006" s="1" t="n">
        <v>1004</v>
      </c>
      <c r="B1006" t="n">
        <v>2020</v>
      </c>
      <c r="C1006" s="2" t="n">
        <v>43961.59862528935</v>
      </c>
      <c r="D1006" t="inlineStr">
        <is>
          <t>G1</t>
        </is>
      </c>
      <c r="E1006" t="inlineStr">
        <is>
          <t>VENEZUELANOS</t>
        </is>
      </c>
      <c r="F1006" t="inlineStr">
        <is>
          <t>POLÍTICA</t>
        </is>
      </c>
      <c r="G1006" t="inlineStr">
        <is>
          <t>MÁRCIO FALCÃO, TV GLOBO — BRASÍLIA</t>
        </is>
      </c>
      <c r="H1006" t="inlineStr">
        <is>
          <t>AGU CHAMA DE 'INTERFERÊNCIA' DECISÃO DO STF QUE SUSPENDEU EXPULSÃO DE VENEZUELANOS</t>
        </is>
      </c>
      <c r="I1006" t="inlineStr">
        <is>
          <t>ADVOCACIA GERAL DA UNIÃO DEFENDEU QUE MINISTRO LUÍS ROBERTO BARROSO REVEJA A SUSPENSÃO. EXPULSÃO DE DIPLOMATAS OCORRE EM MEIO A RUPTURA NAS RELAÇÕES ENTRE BRASIL E VENEZUELA.</t>
        </is>
      </c>
      <c r="J1006">
        <f>HYPERLINK("https://g1.globo.com/politica/noticia/2020/05/10/agu-chama-de-interferencia-decisao-do-stf-que-suspendeu-expulsao-venezuelanos.ghtml", "URL")</f>
        <v/>
      </c>
      <c r="K1006">
        <f>HYPERLINK("https://raw.githubusercontent.com/marcosmapl/dataset_imigrantes/main/noticias_filtered/g1/venezuelanos/2020/04_mai/html/g1_6b9e783e-2323-11ed-b24f-6dbe51e79fca_3806.html", "HTML")</f>
        <v/>
      </c>
      <c r="L1006">
        <f>HYPERLINK("https://raw.githubusercontent.com/marcosmapl/dataset_imigrantes/main/noticias_filtered/g1/venezuelanos/2020/04_mai/txt/g1_6b9e783e-2323-11ed-b24f-6dbe51e79fca_3806.txt", "TXT")</f>
        <v/>
      </c>
    </row>
    <row r="1007">
      <c r="A1007" s="1" t="n">
        <v>1005</v>
      </c>
      <c r="B1007" t="n">
        <v>2020</v>
      </c>
      <c r="C1007" s="2" t="n">
        <v>43959.80013854166</v>
      </c>
      <c r="D1007" t="inlineStr">
        <is>
          <t>G1</t>
        </is>
      </c>
      <c r="E1007" t="inlineStr">
        <is>
          <t>VENEZUELANOS</t>
        </is>
      </c>
      <c r="F1007" t="inlineStr">
        <is>
          <t>MUNDO</t>
        </is>
      </c>
      <c r="G1007" t="inlineStr">
        <is>
          <t>FRANCE PRESSE</t>
        </is>
      </c>
      <c r="H1007" t="inlineStr">
        <is>
          <t>TRUMP NEGA SUPOSTO COMPLÔ NA VENEZUELA: 'SE QUISESSE, NÃO FARIA EM SEGREDO'</t>
        </is>
      </c>
      <c r="I1007" t="inlineStr">
        <is>
          <t>OPERAÇÃO NA COSTA VENEZUELANA E SUSPEITA DE QUE SUPOSTOS INVASORES AGIRAM COMANDADOS PELOS EUA ELEVOU O TOM DA CRISE ENTRE WASHINGTON E O REGIME DE NICOLÁS MADURO.</t>
        </is>
      </c>
      <c r="J1007">
        <f>HYPERLINK("https://g1.globo.com/mundo/noticia/2020/05/08/trump-nega-suposto-complo-na-venezuela-se-quisesse-nao-faria-em-segredo.ghtml", "URL")</f>
        <v/>
      </c>
      <c r="K1007">
        <f>HYPERLINK("https://raw.githubusercontent.com/marcosmapl/dataset_imigrantes/main/noticias_filtered/g1/venezuelanos/2020/04_mai/html/g1_24e50d1a-2321-11ed-b24f-6dbe51e79fca_3681.html", "HTML")</f>
        <v/>
      </c>
      <c r="L1007">
        <f>HYPERLINK("https://raw.githubusercontent.com/marcosmapl/dataset_imigrantes/main/noticias_filtered/g1/venezuelanos/2020/04_mai/txt/g1_24e50d1a-2321-11ed-b24f-6dbe51e79fca_3681.txt", "TXT")</f>
        <v/>
      </c>
    </row>
    <row r="1008">
      <c r="A1008" s="1" t="n">
        <v>1006</v>
      </c>
      <c r="B1008" t="n">
        <v>2020</v>
      </c>
      <c r="C1008" s="2" t="n">
        <v>43958.67549142361</v>
      </c>
      <c r="D1008" t="inlineStr">
        <is>
          <t>G1</t>
        </is>
      </c>
      <c r="E1008" t="inlineStr">
        <is>
          <t>VENEZUELANOS</t>
        </is>
      </c>
      <c r="F1008" t="inlineStr">
        <is>
          <t>PARAÍBA</t>
        </is>
      </c>
      <c r="G1008" t="inlineStr">
        <is>
          <t>G1 PB</t>
        </is>
      </c>
      <c r="H1008" t="inlineStr">
        <is>
          <t>TESTAGEM CONFIRMA 40 INDÍGENAS VENEZUELANOS REFUGIADOS COM COVID-19 NA PARAÍBA</t>
        </is>
      </c>
      <c r="I1008" t="inlineStr">
        <is>
          <t>TESTAGEM FEITA EM 48 REFUGIADOS CONFIRMOU COVID-19 EM 40 INDÍGENAS, COM UM CASO DE INTUBAÇÃO DE UMA GRÁVIDA. PREFEITURA DE JOÃO PESSOA CONFIRMOU 59 VENEZUALANOS INFECTADOS NO TOTAL.</t>
        </is>
      </c>
      <c r="J1008">
        <f>HYPERLINK("https://g1.globo.com/pb/paraiba/noticia/2020/05/07/testagem-confirma-40-indigenas-venezuelanos-refugiados-com-covid-19-na-paraiba.ghtml", "URL")</f>
        <v/>
      </c>
      <c r="K1008">
        <f>HYPERLINK("https://raw.githubusercontent.com/marcosmapl/dataset_imigrantes/main/noticias_filtered/g1/venezuelanos/2020/04_mai/html/g1_6b2686a6-2325-11ed-b24f-6dbe51e79fca_3912.html", "HTML")</f>
        <v/>
      </c>
      <c r="L1008">
        <f>HYPERLINK("https://raw.githubusercontent.com/marcosmapl/dataset_imigrantes/main/noticias_filtered/g1/venezuelanos/2020/04_mai/txt/g1_6b2686a6-2325-11ed-b24f-6dbe51e79fca_3912.txt", "TXT")</f>
        <v/>
      </c>
    </row>
    <row r="1009">
      <c r="A1009" s="1" t="n">
        <v>1007</v>
      </c>
      <c r="B1009" t="n">
        <v>2020</v>
      </c>
      <c r="C1009" s="2" t="n">
        <v>43957.89858796296</v>
      </c>
      <c r="D1009" t="inlineStr">
        <is>
          <t>A CRITICA</t>
        </is>
      </c>
      <c r="E1009" t="inlineStr">
        <is>
          <t>VENEZUELANOS</t>
        </is>
      </c>
      <c r="F1009" t="inlineStr">
        <is>
          <t>MANAUS</t>
        </is>
      </c>
      <c r="G1009" t="inlineStr">
        <is>
          <t>PORTAL A CRÍTICA</t>
        </is>
      </c>
      <c r="H1009" t="inlineStr">
        <is>
          <t>MAIS DE 15 TONELADAS DE ALIMENTOS SÃO ENTREGUES A ENTIDADES SOCIOASSISTENCIAIS DO AM</t>
        </is>
      </c>
      <c r="I1009" t="inlineStr">
        <is>
          <t>MAIS DE 700 TONELADAS DE PRODUTOS REGIONAIS DA AGRICULTURA LOCAL FORAM ADQUIRIDAS PELO GOVERNO DO AM E DISPONIBILIZADAS PARA PESSOAS EM VULNERABILIDADE SOCIAL</t>
        </is>
      </c>
      <c r="J1009">
        <f>HYPERLINK("https://www.acritica.com/manaus/mais-de-15-toneladas-de-alimentos-s-o-entregues-a-entidades-socioassistenciais-do-am-1.42306", "URL")</f>
        <v/>
      </c>
      <c r="K1009">
        <f>HYPERLINK("https://raw.githubusercontent.com/marcosmapl/dataset_imigrantes/main/noticias_filtered/a_critica/venezuelanos/2020/04_mai/html/1.42306_1225.html", "HTML")</f>
        <v/>
      </c>
      <c r="L1009">
        <f>HYPERLINK("https://raw.githubusercontent.com/marcosmapl/dataset_imigrantes/main/noticias_filtered/a_critica/venezuelanos/2020/04_mai/txt/1.42306_1225.txt", "TXT")</f>
        <v/>
      </c>
    </row>
    <row r="1010">
      <c r="A1010" s="1" t="n">
        <v>1008</v>
      </c>
      <c r="B1010" t="n">
        <v>2020</v>
      </c>
      <c r="C1010" s="2" t="n">
        <v>43957.5671993287</v>
      </c>
      <c r="D1010" t="inlineStr">
        <is>
          <t>G1</t>
        </is>
      </c>
      <c r="E1010" t="inlineStr">
        <is>
          <t>VENEZUELANOS</t>
        </is>
      </c>
      <c r="F1010" t="inlineStr">
        <is>
          <t>DISTRITO FEDERAL</t>
        </is>
      </c>
      <c r="G1010" t="inlineStr">
        <is>
          <t>G1 DF</t>
        </is>
      </c>
      <c r="H1010" t="inlineStr">
        <is>
          <t>TRAFICANTE VENEZUELANO CONHECIDO COMO 'BARÃO DO SKUNK' É PRESO EM BRASÍLIA</t>
        </is>
      </c>
      <c r="I1010" t="inlineStr">
        <is>
          <t>IMIGRANTE VENDIA DROGAS POR MEIO DE APLICATIVO DE MENSAGENS. NA CASA DELE, NA ASA NORTE, FORAM APREENDIDOS TABLETES DE MACONHA E ENTORPECENTES SINTÉTICOS.</t>
        </is>
      </c>
      <c r="J1010">
        <f>HYPERLINK("https://g1.globo.com/df/distrito-federal/noticia/2020/05/06/traficante-venezuelano-conhecido-como-barao-do-skunk-e-preso-em-brasilia.ghtml", "URL")</f>
        <v/>
      </c>
      <c r="K1010">
        <f>HYPERLINK("https://raw.githubusercontent.com/marcosmapl/dataset_imigrantes/main/noticias_filtered/g1/venezuelanos/2020/04_mai/html/g1_3485ce66-2322-11ed-b24f-6dbe51e79fca_3741.html", "HTML")</f>
        <v/>
      </c>
      <c r="L1010">
        <f>HYPERLINK("https://raw.githubusercontent.com/marcosmapl/dataset_imigrantes/main/noticias_filtered/g1/venezuelanos/2020/04_mai/txt/g1_3485ce66-2322-11ed-b24f-6dbe51e79fca_3741.txt", "TXT")</f>
        <v/>
      </c>
    </row>
    <row r="1011">
      <c r="A1011" s="1" t="n">
        <v>1009</v>
      </c>
      <c r="B1011" t="n">
        <v>2020</v>
      </c>
      <c r="C1011" s="2" t="n">
        <v>43957.12218278935</v>
      </c>
      <c r="D1011" t="inlineStr">
        <is>
          <t>G1</t>
        </is>
      </c>
      <c r="E1011" t="inlineStr">
        <is>
          <t>VENEZUELANOS</t>
        </is>
      </c>
      <c r="F1011" t="inlineStr">
        <is>
          <t>PARÁ</t>
        </is>
      </c>
      <c r="G1011" t="inlineStr">
        <is>
          <t>G1 PA — BELÉM</t>
        </is>
      </c>
      <c r="H1011" t="inlineStr">
        <is>
          <t>REFUGIADOS VENEZUELANOS COMEÇAM A SER REALOCADOS EM NOVO ESPAÇO DE ACOLHIMENTO, EM BELÉM</t>
        </is>
      </c>
      <c r="I1011" t="inlineStr">
        <is>
          <t>A MUDANÇA É REALIZADA DE MANEIRA GRADATIVA. AO TODO ESPAÇO VAI ACOLHER MAIS DE 400 VENEZUELANOS.</t>
        </is>
      </c>
      <c r="J1011">
        <f>HYPERLINK("https://g1.globo.com/pa/para/noticia/2020/05/05/refugiados-venezuelanos-comecam-a-ser-realocados-em-novo-espaco-de-acolhimento-em-belem.ghtml", "URL")</f>
        <v/>
      </c>
      <c r="K1011">
        <f>HYPERLINK("https://raw.githubusercontent.com/marcosmapl/dataset_imigrantes/main/noticias_filtered/g1/venezuelanos/2020/04_mai/html/g1_ea6e9694-2328-11ed-b24f-6dbe51e79fca_4089.html", "HTML")</f>
        <v/>
      </c>
      <c r="L1011">
        <f>HYPERLINK("https://raw.githubusercontent.com/marcosmapl/dataset_imigrantes/main/noticias_filtered/g1/venezuelanos/2020/04_mai/txt/g1_ea6e9694-2328-11ed-b24f-6dbe51e79fca_4089.txt", "TXT")</f>
        <v/>
      </c>
    </row>
    <row r="1012">
      <c r="A1012" s="1" t="n">
        <v>1010</v>
      </c>
      <c r="B1012" t="n">
        <v>2020</v>
      </c>
      <c r="C1012" s="2" t="n">
        <v>43956.70928209491</v>
      </c>
      <c r="D1012" t="inlineStr">
        <is>
          <t>G1</t>
        </is>
      </c>
      <c r="E1012" t="inlineStr">
        <is>
          <t>VENEZUELANOS</t>
        </is>
      </c>
      <c r="F1012" t="inlineStr">
        <is>
          <t>PERNAMBUCO</t>
        </is>
      </c>
      <c r="G1012" t="inlineStr">
        <is>
          <t>G1 PE</t>
        </is>
      </c>
      <c r="H1012" t="inlineStr">
        <is>
          <t>REFUGIADO VENEZUELANO MORRE COM COVID-19 EM ABRIGO NO RECIFE</t>
        </is>
      </c>
      <c r="I1012" t="inlineStr">
        <is>
          <t>SEGUNDO A SECRETARIA DE SAÚDE DO RECIFE, IDOSO TINHA 81 ANOS E VEIO A ÓBITO NO ABRIGO LOCALIZADO NO BAIRRO DOS COELHOS, NA REGIÃO CENTRAL DA CAPITAL PERNAMBUCANA.</t>
        </is>
      </c>
      <c r="J1012">
        <f>HYPERLINK("https://g1.globo.com/pe/pernambuco/noticia/2020/05/05/refugiado-venezuelano-morre-com-covid-19-em-abrigo-no-recife.ghtml", "URL")</f>
        <v/>
      </c>
      <c r="K1012">
        <f>HYPERLINK("https://raw.githubusercontent.com/marcosmapl/dataset_imigrantes/main/noticias_filtered/g1/venezuelanos/2020/04_mai/html/g1_10fc5574-2326-11ed-b24f-6dbe51e79fca_3953.html", "HTML")</f>
        <v/>
      </c>
      <c r="L1012">
        <f>HYPERLINK("https://raw.githubusercontent.com/marcosmapl/dataset_imigrantes/main/noticias_filtered/g1/venezuelanos/2020/04_mai/txt/g1_10fc5574-2326-11ed-b24f-6dbe51e79fca_3953.txt", "TXT")</f>
        <v/>
      </c>
    </row>
    <row r="1013">
      <c r="A1013" s="1" t="n">
        <v>1011</v>
      </c>
      <c r="B1013" t="n">
        <v>2020</v>
      </c>
      <c r="C1013" s="2" t="n">
        <v>43956.05973484954</v>
      </c>
      <c r="D1013" t="inlineStr">
        <is>
          <t>G1</t>
        </is>
      </c>
      <c r="E1013" t="inlineStr">
        <is>
          <t>VENEZUELANOS</t>
        </is>
      </c>
      <c r="F1013" t="inlineStr">
        <is>
          <t>MUNDO</t>
        </is>
      </c>
      <c r="G1013" t="inlineStr">
        <is>
          <t>REUTERS</t>
        </is>
      </c>
      <c r="H1013" t="inlineStr">
        <is>
          <t>APÓS SUPOSTA 'INVASÃO DE MERCENÁRIOS' DA COLÔMBIA À VENEZUELA, GOVERNO CHAVISTA ANUNCIA PRISÕES</t>
        </is>
      </c>
      <c r="I1013" t="inlineStr">
        <is>
          <t>OPOSIÇÃO AO REGIME DE NICOLÁS MADURO CHAMA DE ENCENAÇÃO INCIDENTE NA COSTA VENEZUELANA.</t>
        </is>
      </c>
      <c r="J1013">
        <f>HYPERLINK("https://g1.globo.com/mundo/noticia/2020/05/04/apos-suposta-invasao-de-mercenarios-da-colombia-a-venezuela-governo-chavista-anuncia-prisoes.ghtml", "URL")</f>
        <v/>
      </c>
      <c r="K1013">
        <f>HYPERLINK("https://raw.githubusercontent.com/marcosmapl/dataset_imigrantes/main/noticias_filtered/g1/venezuelanos/2020/04_mai/html/g1_1d9d0d64-2312-11ed-b24f-6dbe51e79fca_2949.html", "HTML")</f>
        <v/>
      </c>
      <c r="L1013">
        <f>HYPERLINK("https://raw.githubusercontent.com/marcosmapl/dataset_imigrantes/main/noticias_filtered/g1/venezuelanos/2020/04_mai/txt/g1_1d9d0d64-2312-11ed-b24f-6dbe51e79fca_2949.txt", "TXT")</f>
        <v/>
      </c>
    </row>
    <row r="1014">
      <c r="A1014" s="1" t="n">
        <v>1012</v>
      </c>
      <c r="B1014" t="n">
        <v>2020</v>
      </c>
      <c r="C1014" s="2" t="n">
        <v>43954.86876157407</v>
      </c>
      <c r="D1014" t="inlineStr">
        <is>
          <t>A CRITICA</t>
        </is>
      </c>
      <c r="E1014" t="inlineStr">
        <is>
          <t>VENEZUELANOS</t>
        </is>
      </c>
      <c r="F1014" t="inlineStr">
        <is>
          <t>POLICIA</t>
        </is>
      </c>
      <c r="G1014" t="inlineStr">
        <is>
          <t>JAN NOGUEIRA</t>
        </is>
      </c>
      <c r="H1014" t="inlineStr">
        <is>
          <t>HOMEM É PRESO EM FLAGRANTE SUSPEITO DE ESTUPRAR MENINA DE 12 ANOS</t>
        </is>
      </c>
      <c r="I1014" t="inlineStr">
        <is>
          <t>CRIME OCORREU EM UM CONSULTÓRIO ODONTOLÓGICO, NA CACHOEIRINHA, ZONA SUL DE MANAUS. HOMEM FOI PRESO APÓS A CRIANÇA RELATAR O OCORRIDO AOS PAIS</t>
        </is>
      </c>
      <c r="J1014">
        <f>HYPERLINK("https://www.acritica.com/policia/homem-e-preso-em-flagrante-suspeito-de-estuprar-menina-de-12-anos-1.42569", "URL")</f>
        <v/>
      </c>
      <c r="K1014">
        <f>HYPERLINK("https://raw.githubusercontent.com/marcosmapl/dataset_imigrantes/main/noticias_filtered/a_critica/venezuelanos/2020/04_mai/html/1.42569_38.html", "HTML")</f>
        <v/>
      </c>
      <c r="L1014">
        <f>HYPERLINK("https://raw.githubusercontent.com/marcosmapl/dataset_imigrantes/main/noticias_filtered/a_critica/venezuelanos/2020/04_mai/txt/1.42569_38.txt", "TXT")</f>
        <v/>
      </c>
    </row>
    <row r="1015">
      <c r="A1015" s="1" t="n">
        <v>1013</v>
      </c>
      <c r="B1015" t="n">
        <v>2020</v>
      </c>
      <c r="C1015" s="2" t="n">
        <v>43954.73541666667</v>
      </c>
      <c r="D1015" t="inlineStr">
        <is>
          <t>A CRITICA</t>
        </is>
      </c>
      <c r="E1015" t="inlineStr">
        <is>
          <t>VENEZUELANOS</t>
        </is>
      </c>
      <c r="F1015" t="inlineStr">
        <is>
          <t>MANAUS</t>
        </is>
      </c>
      <c r="G1015" t="inlineStr">
        <is>
          <t>LANE AZEVEDO</t>
        </is>
      </c>
      <c r="H1015" t="inlineStr">
        <is>
          <t>'BOLSONECO' É ERGUIDO POR MANIFESTANTES EM ATO DE APOIO A BOLSONARO EM MANAUS</t>
        </is>
      </c>
      <c r="I1015" t="inlineStr">
        <is>
          <t>MANIFESTAÇÃO BOLSONARISTA TAMBÉM FOI REGISTRADA EM OUTRAS CIDADES DO PAÍS. EM BRASÍLIA, OS MANIFESTANTES FURAM O ISOLAMENTO SOCIAL E SE AGLOMERAM EM FRENTE AO MUSEU DA REPÚBLICA, E DA CATEDRAL DE BRASÍLIA. HÁ REGISTRO DE VIOLÊNCIA EM ALGUNS ATOS</t>
        </is>
      </c>
      <c r="J1015">
        <f>HYPERLINK("https://www.acritica.com/manaus/bolsoneco-e-erguido-por-manifestantes-em-ato-de-apoio-a-bolsonaro-em-manaus-1.42579", "URL")</f>
        <v/>
      </c>
      <c r="K1015">
        <f>HYPERLINK("https://raw.githubusercontent.com/marcosmapl/dataset_imigrantes/main/noticias_filtered/a_critica/venezuelanos/2020/04_mai/html/1.42579_695.html", "HTML")</f>
        <v/>
      </c>
      <c r="L1015">
        <f>HYPERLINK("https://raw.githubusercontent.com/marcosmapl/dataset_imigrantes/main/noticias_filtered/a_critica/venezuelanos/2020/04_mai/txt/1.42579_695.txt", "TXT")</f>
        <v/>
      </c>
    </row>
    <row r="1016">
      <c r="A1016" s="1" t="n">
        <v>1014</v>
      </c>
      <c r="B1016" t="n">
        <v>2020</v>
      </c>
      <c r="C1016" s="2" t="n">
        <v>43953.80948746527</v>
      </c>
      <c r="D1016" t="inlineStr">
        <is>
          <t>G1</t>
        </is>
      </c>
      <c r="E1016" t="inlineStr">
        <is>
          <t>VENEZUELANOS</t>
        </is>
      </c>
      <c r="F1016" t="inlineStr">
        <is>
          <t>POLÍTICA</t>
        </is>
      </c>
      <c r="G1016" t="inlineStr">
        <is>
          <t>MÁRCIO FALCÃO, TV GLOBO — BRASÍLIA</t>
        </is>
      </c>
      <c r="H1016" t="inlineStr">
        <is>
          <t>MINISTRO DO STF SUSPENDE EXPULSÃO DE 34 DIPLOMATAS VENEZUELANOS DO BRASIL</t>
        </is>
      </c>
      <c r="I1016" t="inlineStr">
        <is>
          <t>LUÍS ROBERTO BARROSO DEU PRAZO DE DEZ DIAS PARA O GOVERNO FEDERAL APRESENTAR EXPLICAÇÕES. MINISTRO ATENDEU PEDIDO FEITO PELO DEPUTADO FEDERAL PAULO PIMENTA (PT-RS).</t>
        </is>
      </c>
      <c r="J1016">
        <f>HYPERLINK("https://g1.globo.com/politica/noticia/2020/05/02/ministro-do-stf-suspende-expulsao-de-34-diplomatas-venezuelanos-do-brasil.ghtml", "URL")</f>
        <v/>
      </c>
      <c r="K1016">
        <f>HYPERLINK("https://raw.githubusercontent.com/marcosmapl/dataset_imigrantes/main/noticias_filtered/g1/venezuelanos/2020/04_mai/html/g1_a0cf3942-2316-11ed-b24f-6dbe51e79fca_3160.html", "HTML")</f>
        <v/>
      </c>
      <c r="L1016">
        <f>HYPERLINK("https://raw.githubusercontent.com/marcosmapl/dataset_imigrantes/main/noticias_filtered/g1/venezuelanos/2020/04_mai/txt/g1_a0cf3942-2316-11ed-b24f-6dbe51e79fca_3160.txt", "TXT")</f>
        <v/>
      </c>
    </row>
    <row r="1017">
      <c r="A1017" s="1" t="n">
        <v>1015</v>
      </c>
      <c r="B1017" t="n">
        <v>2020</v>
      </c>
      <c r="C1017" s="2" t="n">
        <v>43953.49363425926</v>
      </c>
      <c r="D1017" t="inlineStr">
        <is>
          <t>A CRITICA</t>
        </is>
      </c>
      <c r="E1017" t="inlineStr">
        <is>
          <t>VENEZUELANOS</t>
        </is>
      </c>
      <c r="F1017" t="inlineStr"/>
      <c r="G1017" t="inlineStr">
        <is>
          <t>AGÊNCIA BRASIL</t>
        </is>
      </c>
      <c r="H1017" t="inlineStr">
        <is>
          <t>PGR PEDE QUE ITAMARATY SUSPENDA SAÍDA DE DIPLOMATAS VENEZUELANOS</t>
        </is>
      </c>
      <c r="I1017" t="inlineStr">
        <is>
          <t>ALÉM DO CORPO DIPLOMÁTICO, A PROVIDÊNCIA SUGERIDA PELO PROCURADOR-GERAL, AUGUSTO ARAS, DEVE ALCANÇAR AS PESSOAS QUE ATUAM NOS SERVIÇOS DE APOIO E SEUS RESPECTIVOS FAMILIARES.</t>
        </is>
      </c>
      <c r="J1017">
        <f>HYPERLINK("https://www.acritica.com/pgr-pede-que-itamaraty-suspenda-saida-de-diplomatas-venezuelanos-1.42684", "URL")</f>
        <v/>
      </c>
      <c r="K1017">
        <f>HYPERLINK("https://raw.githubusercontent.com/marcosmapl/dataset_imigrantes/main/noticias_filtered/a_critica/venezuelanos/2020/04_mai/html/1.42684_197.html", "HTML")</f>
        <v/>
      </c>
      <c r="L1017">
        <f>HYPERLINK("https://raw.githubusercontent.com/marcosmapl/dataset_imigrantes/main/noticias_filtered/a_critica/venezuelanos/2020/04_mai/txt/1.42684_197.txt", "TXT")</f>
        <v/>
      </c>
    </row>
    <row r="1018">
      <c r="A1018" s="1" t="n">
        <v>1016</v>
      </c>
      <c r="B1018" t="n">
        <v>2020</v>
      </c>
      <c r="C1018" s="2" t="n">
        <v>43953.02193262731</v>
      </c>
      <c r="D1018" t="inlineStr">
        <is>
          <t>G1</t>
        </is>
      </c>
      <c r="E1018" t="inlineStr">
        <is>
          <t>VENEZUELANOS</t>
        </is>
      </c>
      <c r="F1018" t="inlineStr">
        <is>
          <t>JORNAL NACIONAL</t>
        </is>
      </c>
      <c r="G1018" t="inlineStr">
        <is>
          <t>JORNAL NACIONAL</t>
        </is>
      </c>
      <c r="H1018" t="inlineStr">
        <is>
          <t>PGR RECOMENDA AO ITAMARATY QUE SUSPENDA ORDEM PARA DIPLOMATAS VENEZUELANOS DEIXAREM O PAÍS</t>
        </is>
      </c>
      <c r="I1018" t="inlineStr">
        <is>
          <t>EM MARÇO, O BRASIL RETIROU DIPLOMATAS DA VENEZUELA E NEGOCIOU UM PRAZO PARA QUE O PAÍS VIZINHO FIZESSE O MESMO.</t>
        </is>
      </c>
      <c r="J1018">
        <f>HYPERLINK("https://g1.globo.com/jornal-nacional/noticia/2020/05/01/pgr-recomenda-ao-itamaraty-que-suspenda-ordem-para-diplomatas-venezuelanos-deixarem-o-pais.ghtml", "URL")</f>
        <v/>
      </c>
      <c r="K1018">
        <f>HYPERLINK("https://raw.githubusercontent.com/marcosmapl/dataset_imigrantes/main/noticias_filtered/g1/venezuelanos/2020/04_mai/html/g1_535dd574-2311-11ed-b24f-6dbe51e79fca_2911.html", "HTML")</f>
        <v/>
      </c>
      <c r="L1018">
        <f>HYPERLINK("https://raw.githubusercontent.com/marcosmapl/dataset_imigrantes/main/noticias_filtered/g1/venezuelanos/2020/04_mai/txt/g1_535dd574-2311-11ed-b24f-6dbe51e79fca_2911.txt", "TXT")</f>
        <v/>
      </c>
    </row>
    <row r="1019">
      <c r="A1019" s="1" t="n">
        <v>1017</v>
      </c>
      <c r="B1019" t="n">
        <v>2020</v>
      </c>
      <c r="C1019" s="2" t="n">
        <v>43952.55561178241</v>
      </c>
      <c r="D1019" t="inlineStr">
        <is>
          <t>G1</t>
        </is>
      </c>
      <c r="E1019" t="inlineStr">
        <is>
          <t>VENEZUELANOS</t>
        </is>
      </c>
      <c r="F1019" t="inlineStr">
        <is>
          <t>POLÍTICA</t>
        </is>
      </c>
      <c r="G1019" t="inlineStr">
        <is>
          <t>MÁRCIO FALCÃO, TV GLOBO — BRASÍLIA</t>
        </is>
      </c>
      <c r="H1019" t="inlineStr">
        <is>
          <t>PGR PEDE AO ITAMARATY QUE SUSPENDA DECISÃO DE DETERMINAR SAÍDA DE DIPLOMATAS VENEZUELANOS</t>
        </is>
      </c>
      <c r="I1019" t="inlineStr">
        <is>
          <t>MINISTÉRIO DAS RELAÇÕES EXTERIORES ENVIOU OFÍCIO À EMBAIXADA DA VENEZUELA PARA INFORMAR QUE DIPLOMATAS TÊM ATÉ 2 DE MAIO PARA DEIXAR O BRASIL. PGR DIZ QUE ATO VIOLA TRATADOS INTERNACIONAIS.</t>
        </is>
      </c>
      <c r="J1019">
        <f>HYPERLINK("https://g1.globo.com/politica/noticia/2020/05/01/pgr-pede-ao-itamaraty-que-suspenda-decisao-de-determinar-saida-de-diplomatas-venezuelanos.ghtml", "URL")</f>
        <v/>
      </c>
      <c r="K1019">
        <f>HYPERLINK("https://raw.githubusercontent.com/marcosmapl/dataset_imigrantes/main/noticias_filtered/g1/venezuelanos/2020/04_mai/html/g1_a4b816a8-2318-11ed-b24f-6dbe51e79fca_3271.html", "HTML")</f>
        <v/>
      </c>
      <c r="L1019">
        <f>HYPERLINK("https://raw.githubusercontent.com/marcosmapl/dataset_imigrantes/main/noticias_filtered/g1/venezuelanos/2020/04_mai/txt/g1_a4b816a8-2318-11ed-b24f-6dbe51e79fca_3271.txt", "TXT")</f>
        <v/>
      </c>
    </row>
    <row r="1020">
      <c r="A1020" s="1" t="n">
        <v>1018</v>
      </c>
      <c r="B1020" t="n">
        <v>2020</v>
      </c>
      <c r="C1020" s="2" t="n">
        <v>43951.91597222222</v>
      </c>
      <c r="D1020" t="inlineStr">
        <is>
          <t>A CRITICA</t>
        </is>
      </c>
      <c r="E1020" t="inlineStr">
        <is>
          <t>VENEZUELANOS</t>
        </is>
      </c>
      <c r="F1020" t="inlineStr">
        <is>
          <t>ESPORTES</t>
        </is>
      </c>
      <c r="G1020" t="inlineStr">
        <is>
          <t>LEONARDO SENA</t>
        </is>
      </c>
      <c r="H1020" t="inlineStr">
        <is>
          <t>3B SPORT PROMOVE ENTREGAS DE 500 MÁSCARAS E 300 CESTAS BÁSICAS NA APARECIDA</t>
        </is>
      </c>
      <c r="I1020" t="inlineStr">
        <is>
          <t>AÇÃO ACONTECE NO BAIRRO ONDE ESTÁ SITUADO O CENTRO DE TREINAMENTO DO CLUBE E VAI CONTAR COM A PRESENÇA DE JOGADORAS DO ELENCO</t>
        </is>
      </c>
      <c r="J1020">
        <f>HYPERLINK("https://www.acritica.com/esportes/3b-sport-promove-entregas-de-500-mascaras-e-300-cestas-basicas-na-aparecida-1.42747", "URL")</f>
        <v/>
      </c>
      <c r="K1020">
        <f>HYPERLINK("https://raw.githubusercontent.com/marcosmapl/dataset_imigrantes/main/noticias_filtered/a_critica/venezuelanos/2020/03_abr/html/1.42747_1132.html", "HTML")</f>
        <v/>
      </c>
      <c r="L1020">
        <f>HYPERLINK("https://raw.githubusercontent.com/marcosmapl/dataset_imigrantes/main/noticias_filtered/a_critica/venezuelanos/2020/03_abr/txt/1.42747_1132.txt", "TXT")</f>
        <v/>
      </c>
    </row>
    <row r="1021">
      <c r="A1021" s="1" t="n">
        <v>1019</v>
      </c>
      <c r="B1021" t="n">
        <v>2020</v>
      </c>
      <c r="C1021" s="2" t="n">
        <v>43951.65547453704</v>
      </c>
      <c r="D1021" t="inlineStr">
        <is>
          <t>A CRITICA</t>
        </is>
      </c>
      <c r="E1021" t="inlineStr">
        <is>
          <t>VENEZUELANOS</t>
        </is>
      </c>
      <c r="F1021" t="inlineStr"/>
      <c r="G1021" t="inlineStr">
        <is>
          <t>PORTAL A CRÍTICA</t>
        </is>
      </c>
      <c r="H1021" t="inlineStr">
        <is>
          <t>ALIMENTOS DOADOS PELA SEJUSC DEVEM BENEFICIAR 5 MIL PESSOAS NO AM</t>
        </is>
      </c>
      <c r="I1021" t="inlineStr">
        <is>
          <t>CERCA DE 101 INSTITUIÇÕES SOCIAIS EM TODO O ESTADO DEVEM SER ABASTECIDAS COM 90 TONELADAS DE ALIMENTOS</t>
        </is>
      </c>
      <c r="J1021">
        <f>HYPERLINK("https://www.acritica.com/alimentos-doados-pela-sejusc-devem-beneficiar-5-mil-pessoas-no-am-1.42822", "URL")</f>
        <v/>
      </c>
      <c r="K1021">
        <f>HYPERLINK("https://raw.githubusercontent.com/marcosmapl/dataset_imigrantes/main/noticias_filtered/a_critica/venezuelanos/2020/03_abr/html/1.42822_1315.html", "HTML")</f>
        <v/>
      </c>
      <c r="L1021">
        <f>HYPERLINK("https://raw.githubusercontent.com/marcosmapl/dataset_imigrantes/main/noticias_filtered/a_critica/venezuelanos/2020/03_abr/txt/1.42822_1315.txt", "TXT")</f>
        <v/>
      </c>
    </row>
    <row r="1022">
      <c r="A1022" s="1" t="n">
        <v>1020</v>
      </c>
      <c r="B1022" t="n">
        <v>2020</v>
      </c>
      <c r="C1022" s="2" t="n">
        <v>43951.60348296296</v>
      </c>
      <c r="D1022" t="inlineStr">
        <is>
          <t>G1</t>
        </is>
      </c>
      <c r="E1022" t="inlineStr">
        <is>
          <t>VENEZUELANOS</t>
        </is>
      </c>
      <c r="F1022" t="inlineStr">
        <is>
          <t>PARAÍBA</t>
        </is>
      </c>
      <c r="G1022" t="inlineStr">
        <is>
          <t>G1 PB</t>
        </is>
      </c>
      <c r="H1022" t="inlineStr">
        <is>
          <t>DEFENSORIA RECOMENDA ACOLHIMENTO DE VENEZUELANOS À PREFEITURA DE CAMPINA GRANDE</t>
        </is>
      </c>
      <c r="I1022" t="inlineStr">
        <is>
          <t>ENTRE AS RECOMENDAÇÕES ESTÁ O ACELERAMENTO DAS OBRAS DE UMA ESCOLA DESATIVADA PARA O ACOLHIMENTO DE IMIGRANTES VENEZUELANOS REFUGIADOS NO MUNICÍPIO.</t>
        </is>
      </c>
      <c r="J1022">
        <f>HYPERLINK("https://g1.globo.com/pb/paraiba/noticia/2020/04/30/defensoria-recomenda-acolhimento-de-venezuelanos-a-prefeitura-de-campina-grande.ghtml", "URL")</f>
        <v/>
      </c>
      <c r="K1022">
        <f>HYPERLINK("https://raw.githubusercontent.com/marcosmapl/dataset_imigrantes/main/noticias_filtered/g1/venezuelanos/2020/03_abr/html/g1_c0518136-231a-11ed-b24f-6dbe51e79fca_3351.html", "HTML")</f>
        <v/>
      </c>
      <c r="L1022">
        <f>HYPERLINK("https://raw.githubusercontent.com/marcosmapl/dataset_imigrantes/main/noticias_filtered/g1/venezuelanos/2020/03_abr/txt/g1_c0518136-231a-11ed-b24f-6dbe51e79fca_3351.txt", "TXT")</f>
        <v/>
      </c>
    </row>
    <row r="1023">
      <c r="A1023" s="1" t="n">
        <v>1021</v>
      </c>
      <c r="B1023" t="n">
        <v>2020</v>
      </c>
      <c r="C1023" s="2" t="n">
        <v>43951.52777777778</v>
      </c>
      <c r="D1023" t="inlineStr">
        <is>
          <t>A CRITICA</t>
        </is>
      </c>
      <c r="E1023" t="inlineStr">
        <is>
          <t>VENEZUELANOS</t>
        </is>
      </c>
      <c r="F1023" t="inlineStr">
        <is>
          <t>OPINIAO</t>
        </is>
      </c>
      <c r="G1023" t="inlineStr">
        <is>
          <t>DULCE RODRIGUEZ</t>
        </is>
      </c>
      <c r="H1023" t="inlineStr">
        <is>
          <t>NÃO VAI FALTAR COMIDA NO PRATO DOS BRASILEIROS</t>
        </is>
      </c>
      <c r="I1023" t="inlineStr">
        <is>
          <t>ESTOU CIENTE QUE O GOVERNO SÓ CUMPRE COM SEU DEVER E CONCORDO QUE FOI PARA ISSO QUE FORAM ELEITOS, MAS TENHA A CERTEZA QUE EM OUTROS PAÍSES, NA REAL, AS AUTORIDADES NÃO SE IMPORTAM COM A FOME DO POVO</t>
        </is>
      </c>
      <c r="J1023">
        <f>HYPERLINK("https://www.acritica.com/opiniao/n-o-vai-faltar-comida-no-prato-dos-brasileiros-1.215905", "URL")</f>
        <v/>
      </c>
      <c r="K1023">
        <f>HYPERLINK("https://raw.githubusercontent.com/marcosmapl/dataset_imigrantes/main/noticias_filtered/a_critica/venezuelanos/2020/03_abr/html/1.215905_609.html", "HTML")</f>
        <v/>
      </c>
      <c r="L1023">
        <f>HYPERLINK("https://raw.githubusercontent.com/marcosmapl/dataset_imigrantes/main/noticias_filtered/a_critica/venezuelanos/2020/03_abr/txt/1.215905_609.txt", "TXT")</f>
        <v/>
      </c>
    </row>
    <row r="1024">
      <c r="A1024" s="1" t="n">
        <v>1022</v>
      </c>
      <c r="B1024" t="n">
        <v>2020</v>
      </c>
      <c r="C1024" s="2" t="n">
        <v>43951.11268170139</v>
      </c>
      <c r="D1024" t="inlineStr">
        <is>
          <t>G1</t>
        </is>
      </c>
      <c r="E1024" t="inlineStr">
        <is>
          <t>VENEZUELANOS</t>
        </is>
      </c>
      <c r="F1024" t="inlineStr">
        <is>
          <t>PERNAMBUCO</t>
        </is>
      </c>
      <c r="G1024" t="inlineStr">
        <is>
          <t>BRUNO FONTES, TV GLOBO</t>
        </is>
      </c>
      <c r="H1024" t="inlineStr">
        <is>
          <t>VENEZUELANOS QUE VIVIAM EM RUAS DO RECIFE GANHAM MORADIA PROVISÓRIA E ALIMENTOS PARA SE PREVENIR DA COVID-19</t>
        </is>
      </c>
      <c r="I1024" t="inlineStr">
        <is>
          <t>GRUPO DE REFUGIADOS DA VENEZUELA RECEBE ASSISTÊNCIA DA CÁRITAS BRASILEIRA, UMA ORGANIZAÇÃO HUMANITÁRIA DA CNBB, E DA PREFEITURA DA CAPITAL PERNAMBUCANA.</t>
        </is>
      </c>
      <c r="J1024">
        <f>HYPERLINK("https://g1.globo.com/pe/pernambuco/noticia/2020/04/29/venezuelanos-que-viviam-em-ruas-do-recife-ganham-moradia-provisoria-e-alimentos-para-se-prevenir-da-covid-19.ghtml", "URL")</f>
        <v/>
      </c>
      <c r="K1024">
        <f>HYPERLINK("https://raw.githubusercontent.com/marcosmapl/dataset_imigrantes/main/noticias_filtered/g1/venezuelanos/2020/03_abr/html/g1_46d92dc6-2316-11ed-b24f-6dbe51e79fca_3138.html", "HTML")</f>
        <v/>
      </c>
      <c r="L1024">
        <f>HYPERLINK("https://raw.githubusercontent.com/marcosmapl/dataset_imigrantes/main/noticias_filtered/g1/venezuelanos/2020/03_abr/txt/g1_46d92dc6-2316-11ed-b24f-6dbe51e79fca_3138.txt", "TXT")</f>
        <v/>
      </c>
    </row>
    <row r="1025">
      <c r="A1025" s="1" t="n">
        <v>1023</v>
      </c>
      <c r="B1025" t="n">
        <v>2020</v>
      </c>
      <c r="C1025" s="2" t="n">
        <v>43950.90672921296</v>
      </c>
      <c r="D1025" t="inlineStr">
        <is>
          <t>G1</t>
        </is>
      </c>
      <c r="E1025" t="inlineStr">
        <is>
          <t>VENEZUELANOS</t>
        </is>
      </c>
      <c r="F1025" t="inlineStr">
        <is>
          <t>RORAIMA</t>
        </is>
      </c>
      <c r="G1025" t="inlineStr">
        <is>
          <t>G1 RR — BOA VISTA</t>
        </is>
      </c>
      <c r="H1025" t="inlineStr">
        <is>
          <t>EMBAIXADA DA VENEZUELA DISTRIBUI 4 MIL MÁSCARAS DE PROTEÇÃO PARA IMIGRANTES EM BOA VISTA</t>
        </is>
      </c>
      <c r="I1025" t="inlineStr">
        <is>
          <t>MÁSCARAS DE PROTEÇÃO FORAM PRODUZIDOS POR MULHERES VENEZUELANAS QUE VIVEM EM BOA VISTA E FORAM DOADAS NA RODOVIÁRIA E EM UMA OCUPAÇÃO NO BAIRRO JÓQUEI CLUBE.</t>
        </is>
      </c>
      <c r="J1025">
        <f>HYPERLINK("https://g1.globo.com/rr/roraima/noticia/2020/04/29/embaixada-da-venezuela-distribui-4-mil-mascaras-de-protecao-para-imigrantes-em-boa-vista.ghtml", "URL")</f>
        <v/>
      </c>
      <c r="K1025">
        <f>HYPERLINK("https://raw.githubusercontent.com/marcosmapl/dataset_imigrantes/main/noticias_filtered/g1/venezuelanos/2020/03_abr/html/g1_5794e9c0-2316-11ed-b24f-6dbe51e79fca_3141.html", "HTML")</f>
        <v/>
      </c>
      <c r="L1025">
        <f>HYPERLINK("https://raw.githubusercontent.com/marcosmapl/dataset_imigrantes/main/noticias_filtered/g1/venezuelanos/2020/03_abr/txt/g1_5794e9c0-2316-11ed-b24f-6dbe51e79fca_3141.txt", "TXT")</f>
        <v/>
      </c>
    </row>
    <row r="1026">
      <c r="A1026" s="1" t="n">
        <v>1024</v>
      </c>
      <c r="B1026" t="n">
        <v>2020</v>
      </c>
      <c r="C1026" s="2" t="n">
        <v>43950.59173611111</v>
      </c>
      <c r="D1026" t="inlineStr">
        <is>
          <t>A CRITICA</t>
        </is>
      </c>
      <c r="E1026" t="inlineStr">
        <is>
          <t>VENEZUELANOS</t>
        </is>
      </c>
      <c r="F1026" t="inlineStr">
        <is>
          <t>MANAUS</t>
        </is>
      </c>
      <c r="G1026" t="inlineStr">
        <is>
          <t>FILIPE TÁVORA</t>
        </is>
      </c>
      <c r="H1026" t="inlineStr">
        <is>
          <t>INCÊNDIO DESTRÓI TRÊS PAVIMENTOS DA APACC E CAUSA PREJUÍZO DE R$ 50 MIL</t>
        </is>
      </c>
      <c r="I1026" t="inlineStr">
        <is>
          <t>JHONY CARVALHO, PRESIDENTE DA ASSOCIAÇÃO DE PAIS DE CRIANÇAS CARDIOPATAS DO ESTADO DO AMAZONAS, UM AQUECIMENTO NO COMPRESSOR DO AR-CONDICIONADO TERIA INICIADO O SINISTRO. NÃO HOUVE VÍTIMAS</t>
        </is>
      </c>
      <c r="J1026">
        <f>HYPERLINK("https://www.acritica.com/manaus/incendio-destroi-tres-pavimentos-da-apacc-e-causa-prejuizo-de-r-50-mil-1.42915", "URL")</f>
        <v/>
      </c>
      <c r="K1026">
        <f>HYPERLINK("https://raw.githubusercontent.com/marcosmapl/dataset_imigrantes/main/noticias_filtered/a_critica/venezuelanos/2020/03_abr/html/1.42915_432.html", "HTML")</f>
        <v/>
      </c>
      <c r="L1026">
        <f>HYPERLINK("https://raw.githubusercontent.com/marcosmapl/dataset_imigrantes/main/noticias_filtered/a_critica/venezuelanos/2020/03_abr/txt/1.42915_432.txt", "TXT")</f>
        <v/>
      </c>
    </row>
    <row r="1027">
      <c r="A1027" s="1" t="n">
        <v>1025</v>
      </c>
      <c r="B1027" t="n">
        <v>2020</v>
      </c>
      <c r="C1027" s="2" t="n">
        <v>43949.69371527778</v>
      </c>
      <c r="D1027" t="inlineStr">
        <is>
          <t>A CRITICA</t>
        </is>
      </c>
      <c r="E1027" t="inlineStr">
        <is>
          <t>VENEZUELANOS</t>
        </is>
      </c>
      <c r="F1027" t="inlineStr">
        <is>
          <t>SAUDE</t>
        </is>
      </c>
      <c r="G1027" t="inlineStr">
        <is>
          <t>DANIEL AMORIM</t>
        </is>
      </c>
      <c r="H1027" t="inlineStr">
        <is>
          <t>MOVIMENTAÇÃO NA FEIRA DA MANAUS MODERNA CONTINUA INTENSA DURANTE A SEMANA</t>
        </is>
      </c>
      <c r="I1027" t="inlineStr">
        <is>
          <t>DIVERSAS AGLOMERAÇÕES DE PESSOAS SEM MÁSCARAS FORAM OBSERVADAS NO LOCAL. INDIFERENÇA DA POPULAÇÃO AO DISTANCIAMENTO SOCIAL CONTINUA EM MEIO AO AUMENTO DE MORTES NO ESTADO</t>
        </is>
      </c>
      <c r="J1027">
        <f>HYPERLINK("https://www.acritica.com/saude/movimentac-o-na-feira-da-manaus-moderna-continua-intensa-durante-a-semana-1.42960", "URL")</f>
        <v/>
      </c>
      <c r="K1027">
        <f>HYPERLINK("https://raw.githubusercontent.com/marcosmapl/dataset_imigrantes/main/noticias_filtered/a_critica/venezuelanos/2020/03_abr/html/1.42960_581.html", "HTML")</f>
        <v/>
      </c>
      <c r="L1027">
        <f>HYPERLINK("https://raw.githubusercontent.com/marcosmapl/dataset_imigrantes/main/noticias_filtered/a_critica/venezuelanos/2020/03_abr/txt/1.42960_581.txt", "TXT")</f>
        <v/>
      </c>
    </row>
    <row r="1028">
      <c r="A1028" s="1" t="n">
        <v>1026</v>
      </c>
      <c r="B1028" t="n">
        <v>2020</v>
      </c>
      <c r="C1028" s="2" t="n">
        <v>43949.6178194213</v>
      </c>
      <c r="D1028" t="inlineStr">
        <is>
          <t>G1</t>
        </is>
      </c>
      <c r="E1028" t="inlineStr">
        <is>
          <t>VENEZUELANOS</t>
        </is>
      </c>
      <c r="F1028" t="inlineStr">
        <is>
          <t>MUNDO</t>
        </is>
      </c>
      <c r="G1028" t="inlineStr">
        <is>
          <t>LUCAS VIDIGAL, G1</t>
        </is>
      </c>
      <c r="H1028" t="inlineStr">
        <is>
          <t>BRASIL CONCEDE DIREITOS DE REFUGIADOS A 722 CRIANÇAS E ADOLESCENTES VENEZUELANOS</t>
        </is>
      </c>
      <c r="I1028" t="inlineStr">
        <is>
          <t>MENORES SÃO FILHOS DOS MAIS DE 20 MIL CIDADÃOS DA VENEZUELA QUE TIVERAM O PEDIDO DE REFÚGIO NO BRASIL CONCEDIDO EM DEZEMBRO. OUTROS CASOS AINDA ESTÃO EM ANÁLISE.</t>
        </is>
      </c>
      <c r="J1028">
        <f>HYPERLINK("https://g1.globo.com/mundo/noticia/2020/04/28/brasil-concede-direitos-de-refugiados-a-722-criancas-e-adolescentes-venezuelanos.ghtml", "URL")</f>
        <v/>
      </c>
      <c r="K1028">
        <f>HYPERLINK("https://raw.githubusercontent.com/marcosmapl/dataset_imigrantes/main/noticias_filtered/g1/venezuelanos/2020/03_abr/html/g1_922b712a-2326-11ed-b24f-6dbe51e79fca_3985.html", "HTML")</f>
        <v/>
      </c>
      <c r="L1028">
        <f>HYPERLINK("https://raw.githubusercontent.com/marcosmapl/dataset_imigrantes/main/noticias_filtered/g1/venezuelanos/2020/03_abr/txt/g1_922b712a-2326-11ed-b24f-6dbe51e79fca_3985.txt", "TXT")</f>
        <v/>
      </c>
    </row>
    <row r="1029">
      <c r="A1029" s="1" t="n">
        <v>1027</v>
      </c>
      <c r="B1029" t="n">
        <v>2020</v>
      </c>
      <c r="C1029" s="2" t="n">
        <v>43948.39583333334</v>
      </c>
      <c r="D1029" t="inlineStr">
        <is>
          <t>A CRITICA</t>
        </is>
      </c>
      <c r="E1029" t="inlineStr">
        <is>
          <t>VENEZUELANOS</t>
        </is>
      </c>
      <c r="F1029" t="inlineStr">
        <is>
          <t>SAUDE</t>
        </is>
      </c>
      <c r="G1029" t="inlineStr">
        <is>
          <t>LUIZ G. MELO</t>
        </is>
      </c>
      <c r="H1029" t="inlineStr">
        <is>
          <t>DESABRIGADOS DE MANAUS VIVEM EM RISCO CONSTANTE À COVID-19</t>
        </is>
      </c>
      <c r="I1029" t="inlineStr">
        <is>
          <t>SEAS MONTOU BASES EMERGENCIAIS PARA REDUZIR PERIGO DE PESSOAS EM SITUAÇÃO DE RUA CONTRAÍREM A DOENÇA</t>
        </is>
      </c>
      <c r="J1029">
        <f>HYPERLINK("https://www.acritica.com/saude/desabrigados-de-manaus-vivem-em-risco-constante-a-covid-19-1.43261", "URL")</f>
        <v/>
      </c>
      <c r="K1029">
        <f>HYPERLINK("https://raw.githubusercontent.com/marcosmapl/dataset_imigrantes/main/noticias_filtered/a_critica/venezuelanos/2020/03_abr/html/1.43261_949.html", "HTML")</f>
        <v/>
      </c>
      <c r="L1029">
        <f>HYPERLINK("https://raw.githubusercontent.com/marcosmapl/dataset_imigrantes/main/noticias_filtered/a_critica/venezuelanos/2020/03_abr/txt/1.43261_949.txt", "TXT")</f>
        <v/>
      </c>
    </row>
    <row r="1030">
      <c r="A1030" s="1" t="n">
        <v>1028</v>
      </c>
      <c r="B1030" t="n">
        <v>2020</v>
      </c>
      <c r="C1030" s="2" t="n">
        <v>43939.96298042824</v>
      </c>
      <c r="D1030" t="inlineStr">
        <is>
          <t>G1</t>
        </is>
      </c>
      <c r="E1030" t="inlineStr">
        <is>
          <t>VENEZUELANOS</t>
        </is>
      </c>
      <c r="F1030" t="inlineStr">
        <is>
          <t>RORAIMA</t>
        </is>
      </c>
      <c r="G1030" t="inlineStr">
        <is>
          <t>SUZANNE OLIVEIRA, G1 RR — BOA VISTA</t>
        </is>
      </c>
      <c r="H1030" t="inlineStr">
        <is>
          <t>OPERAÇÃO ACOLHIDA TEM TRÊS CRIANÇAS VENEZUELANAS E 66 MILITARES INFECTADOS PELO CORONAVÍRUS</t>
        </is>
      </c>
      <c r="I1030" t="inlineStr">
        <is>
          <t>CRIANÇAS ESTÃO EM ISOLAMENTO NO HOSPITAL SANTO ANTÔNIO.</t>
        </is>
      </c>
      <c r="J1030">
        <f>HYPERLINK("https://g1.globo.com/rr/roraima/noticia/2020/04/18/roraima-tem-tres-criancas-venezuelanas-e-66-militares-da-acolhida-infectados-pelo-coronavirus.ghtml", "URL")</f>
        <v/>
      </c>
      <c r="K1030">
        <f>HYPERLINK("https://raw.githubusercontent.com/marcosmapl/dataset_imigrantes/main/noticias_filtered/g1/venezuelanos/2020/03_abr/html/g1_613451b0-2310-11ed-b24f-6dbe51e79fca_2857.html", "HTML")</f>
        <v/>
      </c>
      <c r="L1030">
        <f>HYPERLINK("https://raw.githubusercontent.com/marcosmapl/dataset_imigrantes/main/noticias_filtered/g1/venezuelanos/2020/03_abr/txt/g1_613451b0-2310-11ed-b24f-6dbe51e79fca_2857.txt", "TXT")</f>
        <v/>
      </c>
    </row>
    <row r="1031">
      <c r="A1031" s="1" t="n">
        <v>1029</v>
      </c>
      <c r="B1031" t="n">
        <v>2020</v>
      </c>
      <c r="C1031" s="2" t="n">
        <v>43938.62749993055</v>
      </c>
      <c r="D1031" t="inlineStr">
        <is>
          <t>G1</t>
        </is>
      </c>
      <c r="E1031" t="inlineStr">
        <is>
          <t>VENEZUELANOS</t>
        </is>
      </c>
      <c r="F1031" t="inlineStr">
        <is>
          <t>RORAIMA</t>
        </is>
      </c>
      <c r="G1031" t="inlineStr">
        <is>
          <t>G1 RR — BOA VISTA</t>
        </is>
      </c>
      <c r="H1031" t="inlineStr">
        <is>
          <t>DUAS CRIANÇAS VENEZUELANAS SÃO INFECTADAS POR CORONAVÍRUS EM RORAIMA</t>
        </is>
      </c>
      <c r="I1031" t="inlineStr">
        <is>
          <t>PACIENTES SÃO UMA BEBÊ DE 6 MESES E UM MENINO INDÍGENA, DE 12 ANOS, QUE VIVEM EM ABRIGOS DA OPERAÇÃO ACOLHIDA; 55 MILITARES TAMBÉM ESTÃO INFECTADOS. RORAIMA TEM 164 CASOS POSITIVOS DA COVID-19.</t>
        </is>
      </c>
      <c r="J1031">
        <f>HYPERLINK("https://g1.globo.com/rr/roraima/noticia/2020/04/17/duas-criancas-venezuelanas-sao-infectadas-por-coronavius-em-roraima.ghtml", "URL")</f>
        <v/>
      </c>
      <c r="K1031">
        <f>HYPERLINK("https://raw.githubusercontent.com/marcosmapl/dataset_imigrantes/main/noticias_filtered/g1/venezuelanos/2020/03_abr/html/g1_461891da-2323-11ed-b24f-6dbe51e79fca_3796.html", "HTML")</f>
        <v/>
      </c>
      <c r="L1031">
        <f>HYPERLINK("https://raw.githubusercontent.com/marcosmapl/dataset_imigrantes/main/noticias_filtered/g1/venezuelanos/2020/03_abr/txt/g1_461891da-2323-11ed-b24f-6dbe51e79fca_3796.txt", "TXT")</f>
        <v/>
      </c>
    </row>
    <row r="1032">
      <c r="A1032" s="1" t="n">
        <v>1030</v>
      </c>
      <c r="B1032" t="n">
        <v>2020</v>
      </c>
      <c r="C1032" s="2" t="n">
        <v>43937.99355304398</v>
      </c>
      <c r="D1032" t="inlineStr">
        <is>
          <t>G1</t>
        </is>
      </c>
      <c r="E1032" t="inlineStr">
        <is>
          <t>VENEZUELANOS</t>
        </is>
      </c>
      <c r="F1032" t="inlineStr">
        <is>
          <t>RORAIMA</t>
        </is>
      </c>
      <c r="G1032" t="inlineStr">
        <is>
          <t>G1 RR — BOA VISTA</t>
        </is>
      </c>
      <c r="H1032" t="inlineStr">
        <is>
          <t>GENERAL CHEFE DE ACOLHIDA A VENEZUELANOS E MAIS 54 MILITARES  ESTÃO COM CORONAVÍRUS EM RR</t>
        </is>
      </c>
      <c r="I1032" t="inlineStr">
        <is>
          <t>MAIS 16 MILITARES TESTARAM POSITIVO PARA O VÍRUS, DE ACORDO COM A ASSESSORIA DA OPERAÇÃO ACOLHIDA. O ESTADO AINDA NÃO POSSUI CASOS CONFIRMADOS DA DOENÇA EM VENEZUELANOS.</t>
        </is>
      </c>
      <c r="J1032">
        <f>HYPERLINK("https://g1.globo.com/rr/roraima/noticia/2020/04/16/general-chefe-de-acolhida-a-venezuelanos-e-mais-54-militares-estao-com-coronavirus-em-rr.ghtml", "URL")</f>
        <v/>
      </c>
      <c r="K1032">
        <f>HYPERLINK("https://raw.githubusercontent.com/marcosmapl/dataset_imigrantes/main/noticias_filtered/g1/venezuelanos/2020/03_abr/html/g1_4978908e-232b-11ed-b24f-6dbe51e79fca_4236.html", "HTML")</f>
        <v/>
      </c>
      <c r="L1032">
        <f>HYPERLINK("https://raw.githubusercontent.com/marcosmapl/dataset_imigrantes/main/noticias_filtered/g1/venezuelanos/2020/03_abr/txt/g1_4978908e-232b-11ed-b24f-6dbe51e79fca_4236.txt", "TXT")</f>
        <v/>
      </c>
    </row>
    <row r="1033">
      <c r="A1033" s="1" t="n">
        <v>1031</v>
      </c>
      <c r="B1033" t="n">
        <v>2020</v>
      </c>
      <c r="C1033" s="2" t="n">
        <v>43937.81124243056</v>
      </c>
      <c r="D1033" t="inlineStr">
        <is>
          <t>G1</t>
        </is>
      </c>
      <c r="E1033" t="inlineStr">
        <is>
          <t>VENEZUELANOS</t>
        </is>
      </c>
      <c r="F1033" t="inlineStr">
        <is>
          <t>ACRE</t>
        </is>
      </c>
      <c r="G1033" t="inlineStr">
        <is>
          <t>ALINE VIEIRA, JORNAL DO ACRE 2ª EDIÇÃO — RIO BRANCO</t>
        </is>
      </c>
      <c r="H1033" t="inlineStr">
        <is>
          <t>APÓS CONFLITO COM GOVERNO, INDÍGENAS VENEZUELANOS DEIXAM ABRIGO NO AC E VOLTAM PARA PRÉDIO ABANDONADO</t>
        </is>
      </c>
      <c r="I1033" t="inlineStr">
        <is>
          <t>GRUPO DE MAIS DE 60 ÍNDIOS DA ETNIA WARAO TINHA SIDO LEVADO PELO GOVERNO DO ACRE PARA UMA ESCOLA NO CONJUNTO HABITACIONAL CIDADE DO POVO, EM RIO BRANCO, HÁ TRÊS SEMANAS.</t>
        </is>
      </c>
      <c r="J1033">
        <f>HYPERLINK("https://g1.globo.com/ac/acre/noticia/2020/04/16/apos-conflito-com-governo-indigenas-venezuelanos-deixam-abrigo-no-ac-e-voltam-para-predio-abandonado.ghtml", "URL")</f>
        <v/>
      </c>
      <c r="K1033">
        <f>HYPERLINK("https://raw.githubusercontent.com/marcosmapl/dataset_imigrantes/main/noticias_filtered/g1/venezuelanos/2020/03_abr/html/g1_c80f12da-2306-11ed-b24f-6dbe51e79fca_2277.html", "HTML")</f>
        <v/>
      </c>
      <c r="L1033">
        <f>HYPERLINK("https://raw.githubusercontent.com/marcosmapl/dataset_imigrantes/main/noticias_filtered/g1/venezuelanos/2020/03_abr/txt/g1_c80f12da-2306-11ed-b24f-6dbe51e79fca_2277.txt", "TXT")</f>
        <v/>
      </c>
    </row>
    <row r="1034">
      <c r="A1034" s="1" t="n">
        <v>1032</v>
      </c>
      <c r="B1034" t="n">
        <v>2020</v>
      </c>
      <c r="C1034" s="2" t="n">
        <v>43937.73888888889</v>
      </c>
      <c r="D1034" t="inlineStr">
        <is>
          <t>A CRITICA</t>
        </is>
      </c>
      <c r="E1034" t="inlineStr">
        <is>
          <t>VENEZUELANOS</t>
        </is>
      </c>
      <c r="F1034" t="inlineStr">
        <is>
          <t>SAUDE</t>
        </is>
      </c>
      <c r="G1034" t="inlineStr">
        <is>
          <t>PORTAL A CRÍTICA</t>
        </is>
      </c>
      <c r="H1034" t="inlineStr">
        <is>
          <t>BEBÊ INDÍGENA COM COVID-19 POSSUI QUADRO ESTÁVEL, AFIRMA FVS-AM</t>
        </is>
      </c>
      <c r="I1034" t="inlineStr">
        <is>
          <t>A CRIANÇA FOI DIAGNOSTICADA NO ÍNICIO DESTA SEMANA APÓS UMA VISITA DE ROTINA EM UM ABRIGO DE REFUGIADOS NO BAIRRO COROADO, ZONA LESTE DE MANAUS. PAIS NÃO APRESENTA SINTOMAS</t>
        </is>
      </c>
      <c r="J1034">
        <f>HYPERLINK("https://www.acritica.com/saude/bebe-indigena-com-covid-19-possui-quadro-estavel-afirma-fvs-am-1.43597", "URL")</f>
        <v/>
      </c>
      <c r="K1034">
        <f>HYPERLINK("https://raw.githubusercontent.com/marcosmapl/dataset_imigrantes/main/noticias_filtered/a_critica/venezuelanos/2020/03_abr/html/1.43597_1290.html", "HTML")</f>
        <v/>
      </c>
      <c r="L1034">
        <f>HYPERLINK("https://raw.githubusercontent.com/marcosmapl/dataset_imigrantes/main/noticias_filtered/a_critica/venezuelanos/2020/03_abr/txt/1.43597_1290.txt", "TXT")</f>
        <v/>
      </c>
    </row>
    <row r="1035">
      <c r="A1035" s="1" t="n">
        <v>1033</v>
      </c>
      <c r="B1035" t="n">
        <v>2020</v>
      </c>
      <c r="C1035" s="2" t="n">
        <v>43937.41729459491</v>
      </c>
      <c r="D1035" t="inlineStr">
        <is>
          <t>G1</t>
        </is>
      </c>
      <c r="E1035" t="inlineStr">
        <is>
          <t>VENEZUELANOS</t>
        </is>
      </c>
      <c r="F1035" t="inlineStr">
        <is>
          <t>AMAZONAS</t>
        </is>
      </c>
      <c r="G1035" t="inlineStr">
        <is>
          <t>REBECA BEATRIZ, G1 AM</t>
        </is>
      </c>
      <c r="H1035" t="inlineStr">
        <is>
          <t>INDÍGENAS VENEZUELANOS DENUNCIAM QUARTOS AGLOMERADOS E FALTA DE ÁGUA E SABÃO EM ABRIGO DE MANAUS</t>
        </is>
      </c>
      <c r="I1035" t="inlineStr">
        <is>
          <t>ABRIGO DA ZONA NORTE DA CAPITAL É O MESMO ONDE MORAVA A BEBÊ DE DOIS MESES, DIAGNOSTICADA COM O NOVO CORONAVÍRUS. REFUGIADAS DIZEM QUE APOIO ENVIADO PELA PREFEITURA DE MANAUS NÃO É SUFICIENTE. PREFEITURA NÃO RESPONDEU SOBRE DENÚNCIAS.</t>
        </is>
      </c>
      <c r="J1035">
        <f>HYPERLINK("https://g1.globo.com/am/amazonas/noticia/2020/04/16/indigenas-venezuelanos-denunciam-quartos-aglomerados-e-falta-de-agua-e-sabao-em-abrigo-de-manaus.ghtml", "URL")</f>
        <v/>
      </c>
      <c r="K1035">
        <f>HYPERLINK("https://raw.githubusercontent.com/marcosmapl/dataset_imigrantes/main/noticias_filtered/g1/venezuelanos/2020/03_abr/html/g1_c16283ba-2318-11ed-b24f-6dbe51e79fca_3277.html", "HTML")</f>
        <v/>
      </c>
      <c r="L1035">
        <f>HYPERLINK("https://raw.githubusercontent.com/marcosmapl/dataset_imigrantes/main/noticias_filtered/g1/venezuelanos/2020/03_abr/txt/g1_c16283ba-2318-11ed-b24f-6dbe51e79fca_3277.txt", "TXT")</f>
        <v/>
      </c>
    </row>
    <row r="1036">
      <c r="A1036" s="1" t="n">
        <v>1034</v>
      </c>
      <c r="B1036" t="n">
        <v>2020</v>
      </c>
      <c r="C1036" s="2" t="n">
        <v>43937.03380787037</v>
      </c>
      <c r="D1036" t="inlineStr">
        <is>
          <t>A CRITICA</t>
        </is>
      </c>
      <c r="E1036" t="inlineStr">
        <is>
          <t>VENEZUELANOS</t>
        </is>
      </c>
      <c r="F1036" t="inlineStr"/>
      <c r="G1036" t="inlineStr">
        <is>
          <t>GIOVANNA MARINHO</t>
        </is>
      </c>
      <c r="H1036" t="inlineStr">
        <is>
          <t>RESTAURANTE FAZ DOAÇÃO DE ALIMENTOS PARA INSTITUIÇÃO RELIGIOSA EM MANAUS</t>
        </is>
      </c>
      <c r="I1036" t="inlineStr">
        <is>
          <t>DOAÇÃO PROMOVIDA PELO RESTAURANTE BAROLLO VAI ATENDER FAMÍLIAS MORADORES DE RUA, IMIGRANTES VENEZUELANOS, CRIANÇAS E FAMÍLIAS CARENTES DA CASA RESTAURA-ME</t>
        </is>
      </c>
      <c r="J1036">
        <f>HYPERLINK("https://www.acritica.com/restaurante-faz-doac-o-de-alimentos-para-instituic-o-religiosa-em-manaus-1.44146", "URL")</f>
        <v/>
      </c>
      <c r="K1036">
        <f>HYPERLINK("https://raw.githubusercontent.com/marcosmapl/dataset_imigrantes/main/noticias_filtered/a_critica/venezuelanos/2020/03_abr/html/1.44146_275.html", "HTML")</f>
        <v/>
      </c>
      <c r="L1036">
        <f>HYPERLINK("https://raw.githubusercontent.com/marcosmapl/dataset_imigrantes/main/noticias_filtered/a_critica/venezuelanos/2020/03_abr/txt/1.44146_275.txt", "TXT")</f>
        <v/>
      </c>
    </row>
    <row r="1037">
      <c r="A1037" s="1" t="n">
        <v>1035</v>
      </c>
      <c r="B1037" t="n">
        <v>2020</v>
      </c>
      <c r="C1037" s="2" t="n">
        <v>43936.86273148148</v>
      </c>
      <c r="D1037" t="inlineStr">
        <is>
          <t>A CRITICA</t>
        </is>
      </c>
      <c r="E1037" t="inlineStr">
        <is>
          <t>VENEZUELANOS</t>
        </is>
      </c>
      <c r="F1037" t="inlineStr">
        <is>
          <t>ESPORTES</t>
        </is>
      </c>
      <c r="G1037" t="inlineStr">
        <is>
          <t>LEONARDO SENA</t>
        </is>
      </c>
      <c r="H1037" t="inlineStr">
        <is>
          <t>UM MÊS DEPOIS DE ESTREAR GOLEANDO NA SÉRIE A2, 3B SPORT VIVE INCERTEZAS</t>
        </is>
      </c>
      <c r="I1037" t="inlineStr">
        <is>
          <t>FERA DA AMAZÔNIA ESTREOU NA TEMPORADA NO ÚLTIMO DIA DE ATIVIDADES DO FUTEBOL AMAZONENSE ANTES DA PARALISAÇÃO. 30 DIAS DEPOIS, CLUBE AGUARDA RETORNO COM INCERTEZAS ENQUANTO MANTÉM ATLETAS NO CENTRO DE TREINAMENTO</t>
        </is>
      </c>
      <c r="J1037">
        <f>HYPERLINK("https://www.acritica.com/esportes/um-mes-depois-de-estrear-goleando-na-serie-a2-3b-sport-vive-incertezas-1.44177", "URL")</f>
        <v/>
      </c>
      <c r="K1037">
        <f>HYPERLINK("https://raw.githubusercontent.com/marcosmapl/dataset_imigrantes/main/noticias_filtered/a_critica/venezuelanos/2020/03_abr/html/1.44177_1317.html", "HTML")</f>
        <v/>
      </c>
      <c r="L1037">
        <f>HYPERLINK("https://raw.githubusercontent.com/marcosmapl/dataset_imigrantes/main/noticias_filtered/a_critica/venezuelanos/2020/03_abr/txt/1.44177_1317.txt", "TXT")</f>
        <v/>
      </c>
    </row>
    <row r="1038">
      <c r="A1038" s="1" t="n">
        <v>1036</v>
      </c>
      <c r="B1038" t="n">
        <v>2020</v>
      </c>
      <c r="C1038" s="2" t="n">
        <v>43936.01056712963</v>
      </c>
      <c r="D1038" t="inlineStr">
        <is>
          <t>A CRITICA</t>
        </is>
      </c>
      <c r="E1038" t="inlineStr">
        <is>
          <t>VENEZUELANOS</t>
        </is>
      </c>
      <c r="F1038" t="inlineStr">
        <is>
          <t>SAUDE</t>
        </is>
      </c>
      <c r="G1038" t="inlineStr">
        <is>
          <t>PORTAL A CRÍTICA</t>
        </is>
      </c>
      <c r="H1038" t="inlineStr">
        <is>
          <t>BEBÊ DE DOIS MESES É PRIMEIRO INDÍGENA VENEZUELANO A TESTAR POSITIVO PARA COVID-19</t>
        </is>
      </c>
      <c r="I1038" t="inlineStr">
        <is>
          <t>CRIANÇA FOI ENCAMINHADA PARA O HOSPITAL DE REFERÊNCIA DELPHINA AZIZ, NA ZONA NORTE, DURANTE A MADRUGADA DESTA TERÇA-FEIRA (14)</t>
        </is>
      </c>
      <c r="J1038">
        <f>HYPERLINK("https://www.acritica.com/saude/bebe-de-dois-meses-e-primeiro-indigena-venezuelano-a-testar-positivo-para-covid-19-1.43639", "URL")</f>
        <v/>
      </c>
      <c r="K1038">
        <f>HYPERLINK("https://raw.githubusercontent.com/marcosmapl/dataset_imigrantes/main/noticias_filtered/a_critica/venezuelanos/2020/03_abr/html/1.43639_103.html", "HTML")</f>
        <v/>
      </c>
      <c r="L1038">
        <f>HYPERLINK("https://raw.githubusercontent.com/marcosmapl/dataset_imigrantes/main/noticias_filtered/a_critica/venezuelanos/2020/03_abr/txt/1.43639_103.txt", "TXT")</f>
        <v/>
      </c>
    </row>
    <row r="1039">
      <c r="A1039" s="1" t="n">
        <v>1037</v>
      </c>
      <c r="B1039" t="n">
        <v>2020</v>
      </c>
      <c r="C1039" s="2" t="n">
        <v>43935.9909556713</v>
      </c>
      <c r="D1039" t="inlineStr">
        <is>
          <t>G1</t>
        </is>
      </c>
      <c r="E1039" t="inlineStr">
        <is>
          <t>VENEZUELANOS</t>
        </is>
      </c>
      <c r="F1039" t="inlineStr">
        <is>
          <t>AMAZONAS</t>
        </is>
      </c>
      <c r="G1039" t="inlineStr">
        <is>
          <t>G1 AM</t>
        </is>
      </c>
      <c r="H1039" t="inlineStr">
        <is>
          <t>BEBÊ INDÍGENA VENEZUELANA DE DOIS MESES TESTA POSITIVO PARA NOVO CORONAVÍRUS, EM MANAUS</t>
        </is>
      </c>
      <c r="I1039" t="inlineStr">
        <is>
          <t>PREFEITURA DE MANAUS IDENTIFICOU CASO DURANTE TRABALHO DE TRANSFERÊNCIA DE VENEZUELANOS, MAS AINDA NÃO SABE DIZER SE CONTAMINAÇÃO FOI EM ABRIGO OU EM HOSPITAL. BEBÊ ESTÁ INTERNADA E TEM QUADRO ESTÁVEL.</t>
        </is>
      </c>
      <c r="J1039">
        <f>HYPERLINK("https://g1.globo.com/am/amazonas/noticia/2020/04/14/bebe-indigena-venezuelano-de-dois-meses-testa-positivo-para-novo-coronavirus-diz-prefeitura-de-manaus.ghtml", "URL")</f>
        <v/>
      </c>
      <c r="K1039">
        <f>HYPERLINK("https://raw.githubusercontent.com/marcosmapl/dataset_imigrantes/main/noticias_filtered/g1/venezuelanos/2020/03_abr/html/g1_bd3416fa-2327-11ed-b24f-6dbe51e79fca_4046.html", "HTML")</f>
        <v/>
      </c>
      <c r="L1039">
        <f>HYPERLINK("https://raw.githubusercontent.com/marcosmapl/dataset_imigrantes/main/noticias_filtered/g1/venezuelanos/2020/03_abr/txt/g1_bd3416fa-2327-11ed-b24f-6dbe51e79fca_4046.txt", "TXT")</f>
        <v/>
      </c>
    </row>
    <row r="1040">
      <c r="A1040" s="1" t="n">
        <v>1038</v>
      </c>
      <c r="B1040" t="n">
        <v>2020</v>
      </c>
      <c r="C1040" s="2" t="n">
        <v>43935.84299086806</v>
      </c>
      <c r="D1040" t="inlineStr">
        <is>
          <t>G1</t>
        </is>
      </c>
      <c r="E1040" t="inlineStr">
        <is>
          <t>AMBOS</t>
        </is>
      </c>
      <c r="F1040" t="inlineStr">
        <is>
          <t>SANTA CATARINA</t>
        </is>
      </c>
      <c r="G1040" t="inlineStr">
        <is>
          <t>CAROLINA HOLLAND, G1 SC</t>
        </is>
      </c>
      <c r="H1040" t="inlineStr">
        <is>
          <t>IMIGRANTES EM FLORIANÓPOLIS RELATAM DIFICULDADES E PERDA DE EMPREGO DURANTE QUARENTENA</t>
        </is>
      </c>
      <c r="I1040" t="inlineStr">
        <is>
          <t>ONG E PASTORAL DO MIGRANTE ATUAM PARA TENTAR DIMINUIR SITUAÇÃO DE VULNERABILIDADE.</t>
        </is>
      </c>
      <c r="J1040">
        <f>HYPERLINK("https://g1.globo.com/sc/santa-catarina/noticia/2020/04/14/imigrantes-em-florianopolis-relatam-dificuldades-e-perda-de-emprego-durante-quarentena.ghtml", "URL")</f>
        <v/>
      </c>
      <c r="K1040">
        <f>HYPERLINK("https://raw.githubusercontent.com/marcosmapl/dataset_imigrantes/main/noticias_filtered/g1/ambos/2020/03_abr/html/g1_91a55014-2311-11ed-b24f-6dbe51e79fca_2922.html", "HTML")</f>
        <v/>
      </c>
      <c r="L1040">
        <f>HYPERLINK("https://raw.githubusercontent.com/marcosmapl/dataset_imigrantes/main/noticias_filtered/g1/ambos/2020/03_abr/txt/g1_91a55014-2311-11ed-b24f-6dbe51e79fca_2922.txt", "TXT")</f>
        <v/>
      </c>
    </row>
    <row r="1041">
      <c r="A1041" s="1" t="n">
        <v>1039</v>
      </c>
      <c r="B1041" t="n">
        <v>2020</v>
      </c>
      <c r="C1041" s="2" t="n">
        <v>43932.70171513889</v>
      </c>
      <c r="D1041" t="inlineStr">
        <is>
          <t>G1</t>
        </is>
      </c>
      <c r="E1041" t="inlineStr">
        <is>
          <t>VENEZUELANOS</t>
        </is>
      </c>
      <c r="F1041" t="inlineStr">
        <is>
          <t>RORAIMA</t>
        </is>
      </c>
      <c r="G1041" t="inlineStr">
        <is>
          <t>VALÉRIA OLIVEIRA, G1 RR — BOA VISTA</t>
        </is>
      </c>
      <c r="H1041" t="inlineStr">
        <is>
          <t>SETE MILITARES QUE ATUAM EM ACOLHIDA A VENEZUELANOS SÃO INFECTADOS PELO CORONAVÍRUS EM RR</t>
        </is>
      </c>
      <c r="I1041" t="inlineStr">
        <is>
          <t>PACIENTES ESTÃO ISOLADOS. INFORMAÇÃO FOI DIVULGADA NESTE SÁBADO (11) PELA OPERAÇÃO ACOLHIDA; RORAIMA TEM 75 CASOS DE COVID-19.</t>
        </is>
      </c>
      <c r="J1041">
        <f>HYPERLINK("https://g1.globo.com/rr/roraima/noticia/2020/04/11/sete-militares-que-atuam-em-acolhida-a-venezuelanos-sao-infectados-pelo-coronavirus-em-rr.ghtml", "URL")</f>
        <v/>
      </c>
      <c r="K1041">
        <f>HYPERLINK("https://raw.githubusercontent.com/marcosmapl/dataset_imigrantes/main/noticias_filtered/g1/venezuelanos/2020/03_abr/html/g1_854fe12c-231a-11ed-b24f-6dbe51e79fca_3340.html", "HTML")</f>
        <v/>
      </c>
      <c r="L1041">
        <f>HYPERLINK("https://raw.githubusercontent.com/marcosmapl/dataset_imigrantes/main/noticias_filtered/g1/venezuelanos/2020/03_abr/txt/g1_854fe12c-231a-11ed-b24f-6dbe51e79fca_3340.txt", "TXT")</f>
        <v/>
      </c>
    </row>
    <row r="1042">
      <c r="A1042" s="1" t="n">
        <v>1040</v>
      </c>
      <c r="B1042" t="n">
        <v>2020</v>
      </c>
      <c r="C1042" s="2" t="n">
        <v>43924.91682407408</v>
      </c>
      <c r="D1042" t="inlineStr">
        <is>
          <t>G1</t>
        </is>
      </c>
      <c r="E1042" t="inlineStr">
        <is>
          <t>VENEZUELANOS</t>
        </is>
      </c>
      <c r="F1042" t="inlineStr">
        <is>
          <t>ACRE</t>
        </is>
      </c>
      <c r="G1042" t="inlineStr">
        <is>
          <t>ALINE NASCIMENTO, G1 AC — RIO BRANCO</t>
        </is>
      </c>
      <c r="H1042" t="inlineStr">
        <is>
          <t>INDÍGENAS VENEZUELANOS INSTALADOS EM ESCOLA NA CAPITAL DO ACRE RECEBEM DOAÇÃO DE ALIMENTOS</t>
        </is>
      </c>
      <c r="I1042" t="inlineStr">
        <is>
          <t>SECRETARIA DE ASSISTÊNCIA SOCIAL ENTREGOU 350 QUILOS DE ALIMENTOS PARA OS INDÍGENAS INSTALADOS NO CONJUNTO HABITACIONAL CIDADE DO POVO, EM RIO BRANCO.</t>
        </is>
      </c>
      <c r="J1042">
        <f>HYPERLINK("https://g1.globo.com/ac/acre/noticia/2020/04/03/indigenas-venezuelanos-instalados-em-escola-na-capital-do-acre-recebem-doacao-de-alimentos.ghtml", "URL")</f>
        <v/>
      </c>
      <c r="K1042">
        <f>HYPERLINK("https://raw.githubusercontent.com/marcosmapl/dataset_imigrantes/main/noticias_filtered/g1/venezuelanos/2020/03_abr/html/g1_1151ef34-232b-11ed-b24f-6dbe51e79fca_4219.html", "HTML")</f>
        <v/>
      </c>
      <c r="L1042">
        <f>HYPERLINK("https://raw.githubusercontent.com/marcosmapl/dataset_imigrantes/main/noticias_filtered/g1/venezuelanos/2020/03_abr/txt/g1_1151ef34-232b-11ed-b24f-6dbe51e79fca_4219.txt", "TXT")</f>
        <v/>
      </c>
    </row>
    <row r="1043">
      <c r="A1043" s="1" t="n">
        <v>1041</v>
      </c>
      <c r="B1043" t="n">
        <v>2020</v>
      </c>
      <c r="C1043" s="2" t="n">
        <v>43924.88876157408</v>
      </c>
      <c r="D1043" t="inlineStr">
        <is>
          <t>A CRITICA</t>
        </is>
      </c>
      <c r="E1043" t="inlineStr">
        <is>
          <t>VENEZUELANOS</t>
        </is>
      </c>
      <c r="F1043" t="inlineStr">
        <is>
          <t>OPINIAO</t>
        </is>
      </c>
      <c r="G1043" t="inlineStr">
        <is>
          <t>DULCE RODRIGUEZ</t>
        </is>
      </c>
      <c r="H1043" t="inlineStr">
        <is>
          <t>QUANDO VOLTARMOS AO NORMAL</t>
        </is>
      </c>
      <c r="I1043" t="inlineStr">
        <is>
          <t>DEPOIS DE 17 ANOS QUE ACONTECEU O “PARO PETROLEIRO”, NA VENEZUELA, COM CERTEZA EU POSSO LHES DIZER QUE TUDO PASSA.</t>
        </is>
      </c>
      <c r="J1043">
        <f>HYPERLINK("https://www.acritica.com/opiniao/quando-voltarmos-ao-normal-1.216476", "URL")</f>
        <v/>
      </c>
      <c r="K1043">
        <f>HYPERLINK("https://raw.githubusercontent.com/marcosmapl/dataset_imigrantes/main/noticias_filtered/a_critica/venezuelanos/2020/03_abr/html/1.216476_1281.html", "HTML")</f>
        <v/>
      </c>
      <c r="L1043">
        <f>HYPERLINK("https://raw.githubusercontent.com/marcosmapl/dataset_imigrantes/main/noticias_filtered/a_critica/venezuelanos/2020/03_abr/txt/1.216476_1281.txt", "TXT")</f>
        <v/>
      </c>
    </row>
    <row r="1044">
      <c r="A1044" s="1" t="n">
        <v>1042</v>
      </c>
      <c r="B1044" t="n">
        <v>2020</v>
      </c>
      <c r="C1044" s="2" t="n">
        <v>43924.81313043981</v>
      </c>
      <c r="D1044" t="inlineStr">
        <is>
          <t>G1</t>
        </is>
      </c>
      <c r="E1044" t="inlineStr">
        <is>
          <t>HAITIANOS</t>
        </is>
      </c>
      <c r="F1044" t="inlineStr">
        <is>
          <t>MATO GROSSO</t>
        </is>
      </c>
      <c r="G1044" t="inlineStr">
        <is>
          <t>G1 MT</t>
        </is>
      </c>
      <c r="H1044" t="inlineStr">
        <is>
          <t>DOAÇÕES DE ALIMENTOS E MATERIAIS DE HIGIENE SÃO ARRECADADAS EM MT PARA AJUDAR FAMÍLIAS HAITIANAS QUE ESTÃO DESEMPREGADAS</t>
        </is>
      </c>
      <c r="I1044" t="inlineStr">
        <is>
          <t>ARRECADAÇÕES SERÃO DESTINADAS ÀS FAMÍLIAS DE IMIGRANTES QUE ESTÃO DESEMPREGADAS E EM ESTADO DE VULNERABILIDADE.</t>
        </is>
      </c>
      <c r="J1044">
        <f>HYPERLINK("https://g1.globo.com/mt/mato-grosso/noticia/2020/04/03/doacoes-de-alimentos-e-materiais-de-higiene-sao-arrecadadas-em-mt-para-familias-haitianas-desempregadas-durante-pandemia-do-coronavirus.ghtml", "URL")</f>
        <v/>
      </c>
      <c r="K1044">
        <f>HYPERLINK("https://raw.githubusercontent.com/marcosmapl/dataset_imigrantes/main/noticias_filtered/g1/haitianos/2020/03_abr/html/g1_8fc893b6-2323-11ed-b24f-6dbe51e79fca_3815.html", "HTML")</f>
        <v/>
      </c>
      <c r="L1044">
        <f>HYPERLINK("https://raw.githubusercontent.com/marcosmapl/dataset_imigrantes/main/noticias_filtered/g1/haitianos/2020/03_abr/txt/g1_8fc893b6-2323-11ed-b24f-6dbe51e79fca_3815.txt", "TXT")</f>
        <v/>
      </c>
    </row>
    <row r="1045">
      <c r="A1045" s="1" t="n">
        <v>1043</v>
      </c>
      <c r="B1045" t="n">
        <v>2020</v>
      </c>
      <c r="C1045" s="2" t="n">
        <v>43924.00076575232</v>
      </c>
      <c r="D1045" t="inlineStr">
        <is>
          <t>G1</t>
        </is>
      </c>
      <c r="E1045" t="inlineStr">
        <is>
          <t>VENEZUELANOS</t>
        </is>
      </c>
      <c r="F1045" t="inlineStr">
        <is>
          <t>AMAZONAS</t>
        </is>
      </c>
      <c r="G1045" t="inlineStr">
        <is>
          <t>G1 AM</t>
        </is>
      </c>
      <c r="H1045" t="inlineStr">
        <is>
          <t>INDÍGENAS VENEZUELANOS SÃO TRANSFERIDOS PARA ESPAÇO PROVISÓRIO EM PREVENÇÃO AO CORONAVÍRUS, EM MANAUS</t>
        </is>
      </c>
      <c r="I1045" t="inlineStr">
        <is>
          <t>MEDIDA TEM INTUITO DE EVITAR AGLOMERAÇÃO DE PESSOAS E REDUZIR RISCOS DE TRANSMISSÃO DA COVID-19 ENTRE INDÍGENAS VENEZUELANOS DA ETNIA WARAO.</t>
        </is>
      </c>
      <c r="J1045">
        <f>HYPERLINK("https://g1.globo.com/am/amazonas/noticia/2020/04/02/indigenas-venezuelanos-sao-transferidos-para-espaco-provisorio-em-prevencao-ao-coronavirus-em-manaus.ghtml", "URL")</f>
        <v/>
      </c>
      <c r="K1045">
        <f>HYPERLINK("https://raw.githubusercontent.com/marcosmapl/dataset_imigrantes/main/noticias_filtered/g1/venezuelanos/2020/03_abr/html/g1_1c17b87c-231c-11ed-b24f-6dbe51e79fca_3429.html", "HTML")</f>
        <v/>
      </c>
      <c r="L1045">
        <f>HYPERLINK("https://raw.githubusercontent.com/marcosmapl/dataset_imigrantes/main/noticias_filtered/g1/venezuelanos/2020/03_abr/txt/g1_1c17b87c-231c-11ed-b24f-6dbe51e79fca_3429.txt", "TXT")</f>
        <v/>
      </c>
    </row>
    <row r="1046">
      <c r="A1046" s="1" t="n">
        <v>1044</v>
      </c>
      <c r="B1046" t="n">
        <v>2020</v>
      </c>
      <c r="C1046" s="2" t="n">
        <v>43923.66938392361</v>
      </c>
      <c r="D1046" t="inlineStr">
        <is>
          <t>G1</t>
        </is>
      </c>
      <c r="E1046" t="inlineStr">
        <is>
          <t>VENEZUELANOS</t>
        </is>
      </c>
      <c r="F1046" t="inlineStr">
        <is>
          <t>RIBEIRÃO E FRANCA</t>
        </is>
      </c>
      <c r="G1046" t="inlineStr">
        <is>
          <t>G1 RIBEIRÃO PRETO E FRANCA</t>
        </is>
      </c>
      <c r="H1046" t="inlineStr">
        <is>
          <t>ASSISTÊNCIA SOCIAL ACOMPANHA GRUPO DE INDÍGENAS VENEZUELANOS ABRIGADO EM RIBEIRÃO PRETO</t>
        </is>
      </c>
      <c r="I1046" t="inlineStr">
        <is>
          <t>PREFEITURA AFIRMA QUE 24 PESSOAS, SENDO 15 CRIANÇAS, ESTÃO NA CIDADE HÁ DUAS SEMANAS. GRUPO CHEGOU A FICAR NA CASA DE PASSAGEM, MAS DEIXOU O LOCAL.</t>
        </is>
      </c>
      <c r="J1046">
        <f>HYPERLINK("https://g1.globo.com/sp/ribeirao-preto-franca/noticia/2020/04/02/assistencia-social-acompanha-grupo-de-indigenas-venezuelanos-abrigados-em-ribeirao-preto.ghtml", "URL")</f>
        <v/>
      </c>
      <c r="K1046">
        <f>HYPERLINK("https://raw.githubusercontent.com/marcosmapl/dataset_imigrantes/main/noticias_filtered/g1/venezuelanos/2020/03_abr/html/g1_dab6cfc4-2318-11ed-b24f-6dbe51e79fca_3284.html", "HTML")</f>
        <v/>
      </c>
      <c r="L1046">
        <f>HYPERLINK("https://raw.githubusercontent.com/marcosmapl/dataset_imigrantes/main/noticias_filtered/g1/venezuelanos/2020/03_abr/txt/g1_dab6cfc4-2318-11ed-b24f-6dbe51e79fca_3284.txt", "TXT")</f>
        <v/>
      </c>
    </row>
    <row r="1047">
      <c r="A1047" s="1" t="n">
        <v>1045</v>
      </c>
      <c r="B1047" t="n">
        <v>2020</v>
      </c>
      <c r="C1047" s="2" t="n">
        <v>43921.94643592593</v>
      </c>
      <c r="D1047" t="inlineStr">
        <is>
          <t>G1</t>
        </is>
      </c>
      <c r="E1047" t="inlineStr">
        <is>
          <t>VENEZUELANOS</t>
        </is>
      </c>
      <c r="F1047" t="inlineStr">
        <is>
          <t>MUNDO</t>
        </is>
      </c>
      <c r="G1047" t="inlineStr">
        <is>
          <t>FRANCE PRESSE</t>
        </is>
      </c>
      <c r="H1047" t="inlineStr">
        <is>
          <t>GOVERNO MADURO CHAMA DE 'ABERRAÇÃO' PROPOSTA DE NOVAS ELEIÇÕES NA VENEZUELA</t>
        </is>
      </c>
      <c r="I1047" t="inlineStr">
        <is>
          <t>GUAIDÓ FOI CONVOCADO PELA PROCURADORIA VENEZUELANA NA QUINTA-FEIRA POR UMA INVESTIGAÇÃO DE UM PLANO DE 'GOLPE DE ESTADO' E 'MAGNICÍDIO'.</t>
        </is>
      </c>
      <c r="J1047">
        <f>HYPERLINK("https://g1.globo.com/mundo/noticia/2020/03/31/governo-maduro-chama-de-aberracao-proposta-de-novas-eleicoes-na-venezuela.ghtml", "URL")</f>
        <v/>
      </c>
      <c r="K1047">
        <f>HYPERLINK("https://raw.githubusercontent.com/marcosmapl/dataset_imigrantes/main/noticias_filtered/g1/venezuelanos/2020/02_mar/html/g1_08d0967e-231e-11ed-b24f-6dbe51e79fca_3535.html", "HTML")</f>
        <v/>
      </c>
      <c r="L1047">
        <f>HYPERLINK("https://raw.githubusercontent.com/marcosmapl/dataset_imigrantes/main/noticias_filtered/g1/venezuelanos/2020/02_mar/txt/g1_08d0967e-231e-11ed-b24f-6dbe51e79fca_3535.txt", "TXT")</f>
        <v/>
      </c>
    </row>
    <row r="1048">
      <c r="A1048" s="1" t="n">
        <v>1046</v>
      </c>
      <c r="B1048" t="n">
        <v>2020</v>
      </c>
      <c r="C1048" s="2" t="n">
        <v>43921.63648583333</v>
      </c>
      <c r="D1048" t="inlineStr">
        <is>
          <t>G1</t>
        </is>
      </c>
      <c r="E1048" t="inlineStr">
        <is>
          <t>VENEZUELANOS</t>
        </is>
      </c>
      <c r="F1048" t="inlineStr">
        <is>
          <t>BAHIA</t>
        </is>
      </c>
      <c r="G1048" t="inlineStr">
        <is>
          <t>TV BAHIA</t>
        </is>
      </c>
      <c r="H1048" t="inlineStr">
        <is>
          <t>GRUPO DE VENEZUELANOS ACAMPA EM RODOVIÁRIA DA BA APÓS NÃO CONSEGUIR VIAJAR; TERMINAIS ESTÃO FECHADOS POR CAUSA DA COVID-19</t>
        </is>
      </c>
      <c r="I1048" t="inlineStr">
        <is>
          <t>POR CAUSA DA SITUAÇÃO, ELES ESTÃO DORMINDO NAS CADEIRAS DA RODOVIÁRIA. SEGUNDO DIREÇÃO DO TERMINAL, APENAS BANHEIROS DO LOCAL FORAM LIBERADOS PARA USO DO GRUPO.</t>
        </is>
      </c>
      <c r="J1048">
        <f>HYPERLINK("https://g1.globo.com/ba/bahia/noticia/2020/03/31/grupo-de-venezuelanos-acampa-em-rodoviaria-da-ba-apos-nao-conseguir-viajar-terminais-estao-fechados-por-causa-da-covid-19.ghtml", "URL")</f>
        <v/>
      </c>
      <c r="K1048">
        <f>HYPERLINK("https://raw.githubusercontent.com/marcosmapl/dataset_imigrantes/main/noticias_filtered/g1/venezuelanos/2020/02_mar/html/g1_075e7946-230f-11ed-b24f-6dbe51e79fca_2774.html", "HTML")</f>
        <v/>
      </c>
      <c r="L1048">
        <f>HYPERLINK("https://raw.githubusercontent.com/marcosmapl/dataset_imigrantes/main/noticias_filtered/g1/venezuelanos/2020/02_mar/txt/g1_075e7946-230f-11ed-b24f-6dbe51e79fca_2774.txt", "TXT")</f>
        <v/>
      </c>
    </row>
    <row r="1049">
      <c r="A1049" s="1" t="n">
        <v>1047</v>
      </c>
      <c r="B1049" t="n">
        <v>2020</v>
      </c>
      <c r="C1049" s="2" t="n">
        <v>43920.77847222222</v>
      </c>
      <c r="D1049" t="inlineStr">
        <is>
          <t>PORTAL AMAZONIA</t>
        </is>
      </c>
      <c r="E1049" t="inlineStr">
        <is>
          <t>VENEZUELANOS</t>
        </is>
      </c>
      <c r="F1049" t="inlineStr">
        <is>
          <t>NOTÍCIAS,INOVAÇÃO E TECNOLOGIA</t>
        </is>
      </c>
      <c r="G1049" t="inlineStr">
        <is>
          <t>MARIAH BRANDT</t>
        </is>
      </c>
      <c r="H1049" t="inlineStr">
        <is>
          <t>EM MANAUS, PANDEMIC HACKFEST SAÚDE BUSCA SOLUÇÕES PARA SAÚDE PÚBLICA</t>
        </is>
      </c>
      <c r="I1049" t="inlineStr">
        <is>
          <t>DE FORMA TOTALMENTE ONLINE, PODEM PARTICIPAR QUEM TEM UM COMPUTADOR OU CELULAR CONECTADO À INTERNET EM SUA CASA, TER BOAS IDEIAS NA CABEÇA E SABER TRABALHAR EM EQUIPE</t>
        </is>
      </c>
      <c r="J1049">
        <f>HYPERLINK("https://portalamazonia.com/noticias/em-manaus-pandemic-hackfest-saude-busca-solucoes-para-saude-publica", "URL")</f>
        <v/>
      </c>
      <c r="K1049">
        <f>HYPERLINK("https://raw.githubusercontent.com/marcosmapl/dataset_imigrantes/main/noticias_filtered/portal_amazonia/venezuelanos/2020/02_mar/html/24954.31622_1450.html", "HTML")</f>
        <v/>
      </c>
      <c r="L1049">
        <f>HYPERLINK("https://raw.githubusercontent.com/marcosmapl/dataset_imigrantes/main/noticias_filtered/portal_amazonia/venezuelanos/2020/02_mar/txt/24954.31622_1450.txt", "TXT")</f>
        <v/>
      </c>
    </row>
    <row r="1050">
      <c r="A1050" s="1" t="n">
        <v>1048</v>
      </c>
      <c r="B1050" t="n">
        <v>2020</v>
      </c>
      <c r="C1050" s="2" t="n">
        <v>43918.8084375</v>
      </c>
      <c r="D1050" t="inlineStr">
        <is>
          <t>A CRITICA</t>
        </is>
      </c>
      <c r="E1050" t="inlineStr">
        <is>
          <t>VENEZUELANOS</t>
        </is>
      </c>
      <c r="F1050" t="inlineStr">
        <is>
          <t>SAUDE</t>
        </is>
      </c>
      <c r="G1050" t="inlineStr">
        <is>
          <t>LUIZ G. MELO</t>
        </is>
      </c>
      <c r="H1050" t="inlineStr">
        <is>
          <t>IMIGRANTES VENEZUELANOS SENTEM EFEITOS DE PANDEMIA LONGE DA TERRA NATAL</t>
        </is>
      </c>
      <c r="I1050" t="inlineStr">
        <is>
          <t>FAMÍLIAS TEMEM EFEITOS ECONÔMICOS DO ISOLAMENTO SOCIAL IMPOSTO PELO GOVERNO. ABRIGOS ADOTAM MEDIDAS PREVENTIVAS</t>
        </is>
      </c>
      <c r="J1050">
        <f>HYPERLINK("https://www.acritica.com/saude/imigrantes-venezuelanos-sentem-efeitos-de-pandemia-longe-da-terra-natal-1.44956", "URL")</f>
        <v/>
      </c>
      <c r="K1050">
        <f>HYPERLINK("https://raw.githubusercontent.com/marcosmapl/dataset_imigrantes/main/noticias_filtered/a_critica/venezuelanos/2020/02_mar/html/1.44956_475.html", "HTML")</f>
        <v/>
      </c>
      <c r="L1050">
        <f>HYPERLINK("https://raw.githubusercontent.com/marcosmapl/dataset_imigrantes/main/noticias_filtered/a_critica/venezuelanos/2020/02_mar/txt/1.44956_475.txt", "TXT")</f>
        <v/>
      </c>
    </row>
    <row r="1051">
      <c r="A1051" s="1" t="n">
        <v>1049</v>
      </c>
      <c r="B1051" t="n">
        <v>2020</v>
      </c>
      <c r="C1051" s="2" t="n">
        <v>43918.75282199074</v>
      </c>
      <c r="D1051" t="inlineStr">
        <is>
          <t>G1</t>
        </is>
      </c>
      <c r="E1051" t="inlineStr">
        <is>
          <t>VENEZUELANOS</t>
        </is>
      </c>
      <c r="F1051" t="inlineStr">
        <is>
          <t>ACRE</t>
        </is>
      </c>
      <c r="G1051" t="inlineStr">
        <is>
          <t>IRYÁ RODRIGUES, G1 AC — RIO BRANCO</t>
        </is>
      </c>
      <c r="H1051" t="inlineStr">
        <is>
          <t>INDÍGENAS VENEZUELANOS QUE VIVEM NO AC SÃO LEVADOS PARA ABRIGO NA CIDADE DO POVO</t>
        </is>
      </c>
      <c r="I1051" t="inlineStr">
        <is>
          <t>GRUPO DA ETNIA WARAO ESTAVA VIVENDO EM CONDIÇÕES SUBUMANAS EM UM PRÉDIO ABANDONADO PRÓXIMO AO CENTRO DA CAPITAL ACREANA.</t>
        </is>
      </c>
      <c r="J1051">
        <f>HYPERLINK("https://g1.globo.com/ac/acre/noticia/2020/03/28/apos-casos-de-covid-19-indigenas-venezuelanos-que-vivem-no-ac-sao-levados-para-abrigo-na-cidade-do-povo.ghtml", "URL")</f>
        <v/>
      </c>
      <c r="K1051">
        <f>HYPERLINK("https://raw.githubusercontent.com/marcosmapl/dataset_imigrantes/main/noticias_filtered/g1/venezuelanos/2020/02_mar/html/g1_4b6f5d7a-2310-11ed-b24f-6dbe51e79fca_2852.html", "HTML")</f>
        <v/>
      </c>
      <c r="L1051">
        <f>HYPERLINK("https://raw.githubusercontent.com/marcosmapl/dataset_imigrantes/main/noticias_filtered/g1/venezuelanos/2020/02_mar/txt/g1_4b6f5d7a-2310-11ed-b24f-6dbe51e79fca_2852.txt", "TXT")</f>
        <v/>
      </c>
    </row>
    <row r="1052">
      <c r="A1052" s="1" t="n">
        <v>1050</v>
      </c>
      <c r="B1052" t="n">
        <v>2020</v>
      </c>
      <c r="C1052" s="2" t="n">
        <v>43917.48125</v>
      </c>
      <c r="D1052" t="inlineStr">
        <is>
          <t>PORTAL AMAZONIA</t>
        </is>
      </c>
      <c r="E1052" t="inlineStr">
        <is>
          <t>VENEZUELANOS</t>
        </is>
      </c>
      <c r="F1052" t="inlineStr">
        <is>
          <t>ACRE,NOTÍCIAS,CIDADANIA</t>
        </is>
      </c>
      <c r="G1052" t="inlineStr">
        <is>
          <t>PORTAL AMAZÔNIA, COM INFORMAÇÕES DA AGÊNCIA ACRE</t>
        </is>
      </c>
      <c r="H1052" t="inlineStr">
        <is>
          <t>PARCERIA LEVA AJUDA HUMANITÁRIA A IMIGRANTES VENEZUELANOS E CUBANOS EM RIO BRANCO</t>
        </is>
      </c>
      <c r="I1052" t="inlineStr">
        <is>
          <t>O SISTEMA FECOMÉRCIO/AC ESTUDA FORNECER 500 SACOLÕES DE ALIMENTOS PARA SEREM ENTREGUES ÀS FAMÍLIAS NECESSITADAS.</t>
        </is>
      </c>
      <c r="J1052">
        <f>HYPERLINK("https://portalamazonia.com/noticias/parceria-leva-ajuda-humanitaria-a-imigrantes-venezuelanos-e-cubanos-em-rio-branco", "URL")</f>
        <v/>
      </c>
      <c r="K1052">
        <f>HYPERLINK("https://raw.githubusercontent.com/marcosmapl/dataset_imigrantes/main/noticias_filtered/portal_amazonia/venezuelanos/2020/02_mar/html/24895.31470_1587.html", "HTML")</f>
        <v/>
      </c>
      <c r="L1052">
        <f>HYPERLINK("https://raw.githubusercontent.com/marcosmapl/dataset_imigrantes/main/noticias_filtered/portal_amazonia/venezuelanos/2020/02_mar/txt/24895.31470_1587.txt", "TXT")</f>
        <v/>
      </c>
    </row>
    <row r="1053">
      <c r="A1053" s="1" t="n">
        <v>1051</v>
      </c>
      <c r="B1053" t="n">
        <v>2020</v>
      </c>
      <c r="C1053" s="2" t="n">
        <v>43917.07847222222</v>
      </c>
      <c r="D1053" t="inlineStr">
        <is>
          <t>A CRITICA</t>
        </is>
      </c>
      <c r="E1053" t="inlineStr">
        <is>
          <t>HAITIANOS</t>
        </is>
      </c>
      <c r="F1053" t="inlineStr">
        <is>
          <t>POLICIA</t>
        </is>
      </c>
      <c r="G1053" t="inlineStr">
        <is>
          <t>JAN NOGUEIRA</t>
        </is>
      </c>
      <c r="H1053" t="inlineStr">
        <is>
          <t>HAITIANO É MORTO APÓS SER COBRADO POR CONTA DE EMPRÉSTIMO DE R$ 500</t>
        </is>
      </c>
      <c r="I1053" t="inlineStr">
        <is>
          <t>JEAN JOSEP, 30, TRABALHAVA COMO MOTORISTA DE APLICATIVO E PEGOU O VALOR EMPRESTADO PARA CONSERTAR O ERRO; ELE FOI MORTO POR ESPANCAMENTO E TEVE O CORPO JOGADO EM FRENTE A HOSPITAL</t>
        </is>
      </c>
      <c r="J1053">
        <f>HYPERLINK("https://www.acritica.com/policia/haitiano-e-morto-apos-ser-cobrado-por-conta-de-emprestimo-de-r-500-1.45999", "URL")</f>
        <v/>
      </c>
      <c r="K1053">
        <f>HYPERLINK("https://raw.githubusercontent.com/marcosmapl/dataset_imigrantes/main/noticias_filtered/a_critica/haitianos/2020/02_mar/html/1.45999_79.html", "HTML")</f>
        <v/>
      </c>
      <c r="L1053">
        <f>HYPERLINK("https://raw.githubusercontent.com/marcosmapl/dataset_imigrantes/main/noticias_filtered/a_critica/haitianos/2020/02_mar/txt/1.45999_79.txt", "TXT")</f>
        <v/>
      </c>
    </row>
    <row r="1054">
      <c r="A1054" s="1" t="n">
        <v>1052</v>
      </c>
      <c r="B1054" t="n">
        <v>2020</v>
      </c>
      <c r="C1054" s="2" t="n">
        <v>43916.82708333333</v>
      </c>
      <c r="D1054" t="inlineStr">
        <is>
          <t>A CRITICA</t>
        </is>
      </c>
      <c r="E1054" t="inlineStr">
        <is>
          <t>VENEZUELANOS</t>
        </is>
      </c>
      <c r="F1054" t="inlineStr"/>
      <c r="G1054" t="inlineStr">
        <is>
          <t>AFP</t>
        </is>
      </c>
      <c r="H1054" t="inlineStr">
        <is>
          <t>EUA INDICIA MADURO POR NARCOTERRORISMO E OFERECE ATÉ US$ 15 MILHÕES POR INFORMAÇÕES</t>
        </is>
      </c>
      <c r="I1054" t="inlineStr">
        <is>
          <t>SEGUNDO PROCURADORIA AMERICANA, O PRESIDENTE VENEZUELANO É ACUSADO DE 'TER PARTICIPADO DE UMA ASSOCIAÇÃO CRIMINOSA QUE ENVOLVE UMA ORGANIZAÇÃO TERRORISTA EXTREMAMENTE VIOLENTA, AS FARC, EM UM ESFORÇO PARA INUNDAR OS ESTADOS UNIDOS COM COCAÍNA'</t>
        </is>
      </c>
      <c r="J1054">
        <f>HYPERLINK("https://www.acritica.com/eua-indicia-maduro-por-narcoterrorismo-e-oferece-ate-us-15-milh-es-por-informac-es-1.44979", "URL")</f>
        <v/>
      </c>
      <c r="K1054">
        <f>HYPERLINK("https://raw.githubusercontent.com/marcosmapl/dataset_imigrantes/main/noticias_filtered/a_critica/venezuelanos/2020/02_mar/html/1.44979_940.html", "HTML")</f>
        <v/>
      </c>
      <c r="L1054">
        <f>HYPERLINK("https://raw.githubusercontent.com/marcosmapl/dataset_imigrantes/main/noticias_filtered/a_critica/venezuelanos/2020/02_mar/txt/1.44979_940.txt", "TXT")</f>
        <v/>
      </c>
    </row>
    <row r="1055">
      <c r="A1055" s="1" t="n">
        <v>1053</v>
      </c>
      <c r="B1055" t="n">
        <v>2020</v>
      </c>
      <c r="C1055" s="2" t="n">
        <v>43915.98973703704</v>
      </c>
      <c r="D1055" t="inlineStr">
        <is>
          <t>G1</t>
        </is>
      </c>
      <c r="E1055" t="inlineStr">
        <is>
          <t>HAITIANOS</t>
        </is>
      </c>
      <c r="F1055" t="inlineStr">
        <is>
          <t>CAMPINAS E REGIÃO</t>
        </is>
      </c>
      <c r="G1055" t="inlineStr">
        <is>
          <t>G1 CAMPINAS E REGIÃO</t>
        </is>
      </c>
      <c r="H1055" t="inlineStr">
        <is>
          <t>CORONAVÍRUS: PARCERIA ENTRE CAMPINAS E UNICAMP TRADUZ MATERIAL INFORMATIVO PARA IMIGRANTES E REFUGIADOS</t>
        </is>
      </c>
      <c r="I1055" t="inlineStr">
        <is>
          <t>ORIENTAÇÕES FORAM TRADUZIDAS PARA O ESPANHOL, CRIOLO HAITIANO, ÁRABE, INGLÊS E FRANCÊS.</t>
        </is>
      </c>
      <c r="J1055">
        <f>HYPERLINK("https://g1.globo.com/sp/campinas-regiao/noticia/2020/03/25/coronavirus-parceria-entre-campinas-e-unicamp-traduz-material-informativo-para-imigrantes-e-refugiados.ghtml", "URL")</f>
        <v/>
      </c>
      <c r="K1055">
        <f>HYPERLINK("https://raw.githubusercontent.com/marcosmapl/dataset_imigrantes/main/noticias_filtered/g1/haitianos/2020/02_mar/html/g1_c7b7d5b0-22b1-11ed-b24f-6dbe51e79fca_1636.html", "HTML")</f>
        <v/>
      </c>
      <c r="L1055">
        <f>HYPERLINK("https://raw.githubusercontent.com/marcosmapl/dataset_imigrantes/main/noticias_filtered/g1/haitianos/2020/02_mar/txt/g1_c7b7d5b0-22b1-11ed-b24f-6dbe51e79fca_1636.txt", "TXT")</f>
        <v/>
      </c>
    </row>
    <row r="1056">
      <c r="A1056" s="1" t="n">
        <v>1054</v>
      </c>
      <c r="B1056" t="n">
        <v>2020</v>
      </c>
      <c r="C1056" s="2" t="n">
        <v>43915.96027461805</v>
      </c>
      <c r="D1056" t="inlineStr">
        <is>
          <t>G1</t>
        </is>
      </c>
      <c r="E1056" t="inlineStr">
        <is>
          <t>VENEZUELANOS</t>
        </is>
      </c>
      <c r="F1056" t="inlineStr">
        <is>
          <t>ACRE</t>
        </is>
      </c>
      <c r="G1056" t="inlineStr">
        <is>
          <t>TÁLITA SÁBRINA, JORNAL DO ACRE 2ª EDIÇÃO — RIO BRANCO</t>
        </is>
      </c>
      <c r="H1056" t="inlineStr">
        <is>
          <t>VENEZUELANOS REFUGIADOS NO AC TEMEM COVID-19 E PEDEM AJUDA DO GOVERNO: 'NÃO ESTAMOS INSTRUÍDOS'</t>
        </is>
      </c>
      <c r="I1056" t="inlineStr">
        <is>
          <t>EM COLETIVA, NA SEGUNDA-FEIRA (23), GOVERNO DIZ QUE ESTUDA COMO ATENDER ESSE PÚBLICO. VENEZUELANOS PEDEM KITS DE HIGIENIZAÇÃO E ORIENTAÇÕES SOBRE A DOENÇA.</t>
        </is>
      </c>
      <c r="J1056">
        <f>HYPERLINK("https://g1.globo.com/ac/acre/noticia/2020/03/25/venezuelanos-refugiados-no-ac-temem-covid-19-e-pedem-ajuda-do-governo-nao-estamos-instruidos.ghtml", "URL")</f>
        <v/>
      </c>
      <c r="K1056">
        <f>HYPERLINK("https://raw.githubusercontent.com/marcosmapl/dataset_imigrantes/main/noticias_filtered/g1/venezuelanos/2020/02_mar/html/g1_3e6a98b2-232c-11ed-b24f-6dbe51e79fca_4293.html", "HTML")</f>
        <v/>
      </c>
      <c r="L1056">
        <f>HYPERLINK("https://raw.githubusercontent.com/marcosmapl/dataset_imigrantes/main/noticias_filtered/g1/venezuelanos/2020/02_mar/txt/g1_3e6a98b2-232c-11ed-b24f-6dbe51e79fca_4293.txt", "TXT")</f>
        <v/>
      </c>
    </row>
    <row r="1057">
      <c r="A1057" s="1" t="n">
        <v>1055</v>
      </c>
      <c r="B1057" t="n">
        <v>2020</v>
      </c>
      <c r="C1057" s="2" t="n">
        <v>43915.94351636574</v>
      </c>
      <c r="D1057" t="inlineStr">
        <is>
          <t>G1</t>
        </is>
      </c>
      <c r="E1057" t="inlineStr">
        <is>
          <t>HAITIANOS</t>
        </is>
      </c>
      <c r="F1057" t="inlineStr">
        <is>
          <t>SANTA CATARINA</t>
        </is>
      </c>
      <c r="G1057" t="inlineStr">
        <is>
          <t>G1 SC</t>
        </is>
      </c>
      <c r="H1057" t="inlineStr">
        <is>
          <t>MOTORISTA QUE ATROPELOU CASAL DE HAITIANOS EM SC É INDICIADO POR TRÊS CRIMES</t>
        </is>
      </c>
      <c r="I1057" t="inlineStr">
        <is>
          <t>HAITIANO MORREU E MULHER, QUE ESTAVA GRÁVIDA, PERDEU O BEBÊ. CONDUTOR RESPONDE AGORA POR HOMICÍDIO, TENTATIVA DE HOMICÍDIO E ABORTO.</t>
        </is>
      </c>
      <c r="J1057">
        <f>HYPERLINK("https://g1.globo.com/sc/santa-catarina/noticia/2020/03/25/motorista-que-atropelou-casal-de-haitianos-em-sc-e-indiciado-por-tres-crimes.ghtml", "URL")</f>
        <v/>
      </c>
      <c r="K1057">
        <f>HYPERLINK("https://raw.githubusercontent.com/marcosmapl/dataset_imigrantes/main/noticias_filtered/g1/haitianos/2020/02_mar/html/g1_545aef12-22f7-11ed-b24f-6dbe51e79fca_2072.html", "HTML")</f>
        <v/>
      </c>
      <c r="L1057">
        <f>HYPERLINK("https://raw.githubusercontent.com/marcosmapl/dataset_imigrantes/main/noticias_filtered/g1/haitianos/2020/02_mar/txt/g1_545aef12-22f7-11ed-b24f-6dbe51e79fca_2072.txt", "TXT")</f>
        <v/>
      </c>
    </row>
    <row r="1058">
      <c r="A1058" s="1" t="n">
        <v>1056</v>
      </c>
      <c r="B1058" t="n">
        <v>2020</v>
      </c>
      <c r="C1058" s="2" t="n">
        <v>43915.82365740741</v>
      </c>
      <c r="D1058" t="inlineStr">
        <is>
          <t>A CRITICA</t>
        </is>
      </c>
      <c r="E1058" t="inlineStr">
        <is>
          <t>VENEZUELANOS</t>
        </is>
      </c>
      <c r="F1058" t="inlineStr">
        <is>
          <t>SAUDE</t>
        </is>
      </c>
      <c r="G1058" t="inlineStr">
        <is>
          <t>IZABEL GUEDES</t>
        </is>
      </c>
      <c r="H1058" t="inlineStr">
        <is>
          <t>ARENA AMADEU TEIXEIRA JÁ RECEBE DOAÇÕES PARA MORADORES DE RUA EM MANAUS</t>
        </is>
      </c>
      <c r="I1058" t="inlineStr">
        <is>
          <t>NA TARDE DE HOJE MUITA GENTE PROCUROU O LOCAL PARA FAZER AS ENTREGAS DE ROUPAS E PRODUTOS DE HIGIENE. NO LOCAL, FOI MONTADO UM 'DRIVE-THRU' DE DOAÇÕES PARA RESPEITAR MEDIDAS DE SEGURANÇA</t>
        </is>
      </c>
      <c r="J1058">
        <f>HYPERLINK("https://www.acritica.com/saude/arena-amadeu-teixeira-ja-recebe-doac-es-para-moradores-de-rua-em-manaus-1.46056", "URL")</f>
        <v/>
      </c>
      <c r="K1058">
        <f>HYPERLINK("https://raw.githubusercontent.com/marcosmapl/dataset_imigrantes/main/noticias_filtered/a_critica/venezuelanos/2020/02_mar/html/1.46056_1231.html", "HTML")</f>
        <v/>
      </c>
      <c r="L1058">
        <f>HYPERLINK("https://raw.githubusercontent.com/marcosmapl/dataset_imigrantes/main/noticias_filtered/a_critica/venezuelanos/2020/02_mar/txt/1.46056_1231.txt", "TXT")</f>
        <v/>
      </c>
    </row>
    <row r="1059">
      <c r="A1059" s="1" t="n">
        <v>1057</v>
      </c>
      <c r="B1059" t="n">
        <v>2020</v>
      </c>
      <c r="C1059" s="2" t="n">
        <v>43914.62361111111</v>
      </c>
      <c r="D1059" t="inlineStr">
        <is>
          <t>PORTAL AMAZONIA</t>
        </is>
      </c>
      <c r="E1059" t="inlineStr">
        <is>
          <t>VENEZUELANOS</t>
        </is>
      </c>
      <c r="F1059" t="inlineStr">
        <is>
          <t>CIDADES,SAÚDE</t>
        </is>
      </c>
      <c r="G1059" t="inlineStr">
        <is>
          <t>MARIA PAULA SANTOS</t>
        </is>
      </c>
      <c r="H1059" t="inlineStr">
        <is>
          <t>SAIBA COMO RORAIMA TEM SE TORNADO DESTAQUE NO COMBATE AO CORONAVÍRUS</t>
        </is>
      </c>
      <c r="I1059" t="inlineStr">
        <is>
          <t>COM DOIS CASOS CONFIRMADOS, RORAIMA TERÁ A CONSTRUÇÃO DE UM HOSPITAL EMERGENCIAL E JÁ PARALISOU DIVERSAS ATIVIDADES PARA IMPEDIR A CONTAMINAÇÃO DE PESSOAS</t>
        </is>
      </c>
      <c r="J1059">
        <f>HYPERLINK("https://portalamazonia.com/noticias/cidades/saiba-como-roraima-tem-se-tornado-destaque-no-combate-ao-coronavirus", "URL")</f>
        <v/>
      </c>
      <c r="K1059">
        <f>HYPERLINK("https://raw.githubusercontent.com/marcosmapl/dataset_imigrantes/main/noticias_filtered/portal_amazonia/venezuelanos/2020/02_mar/html/24833.31107_1490.html", "HTML")</f>
        <v/>
      </c>
      <c r="L1059">
        <f>HYPERLINK("https://raw.githubusercontent.com/marcosmapl/dataset_imigrantes/main/noticias_filtered/portal_amazonia/venezuelanos/2020/02_mar/txt/24833.31107_1490.txt", "TXT")</f>
        <v/>
      </c>
    </row>
    <row r="1060">
      <c r="A1060" s="1" t="n">
        <v>1058</v>
      </c>
      <c r="B1060" t="n">
        <v>2020</v>
      </c>
      <c r="C1060" s="2" t="n">
        <v>43913.51992043982</v>
      </c>
      <c r="D1060" t="inlineStr">
        <is>
          <t>G1</t>
        </is>
      </c>
      <c r="E1060" t="inlineStr">
        <is>
          <t>VENEZUELANOS</t>
        </is>
      </c>
      <c r="F1060" t="inlineStr">
        <is>
          <t>MATO GROSSO DO SUL</t>
        </is>
      </c>
      <c r="G1060" t="inlineStr">
        <is>
          <t>G1 MS E TV MORENA</t>
        </is>
      </c>
      <c r="H1060" t="inlineStr">
        <is>
          <t>EXAME DÁ NEGATIVO PARA COVID-19 EM IDOSA QUE MORREU COM SINTOMAS DE VÍRUS RESPIRATÓRIOS EM CAMPO GRANDE</t>
        </is>
      </c>
      <c r="I1060" t="inlineStr">
        <is>
          <t>VENEZUELANA DE 63 ANOS MORREU NA MADRUGADA DO DIA 21 NA UNIDADE DE PRONTO ATENDIMENTO (UPA) LEBLON.</t>
        </is>
      </c>
      <c r="J1060">
        <f>HYPERLINK("https://g1.globo.com/ms/mato-grosso-do-sul/noticia/2020/03/23/exame-da-negativo-para-covid-19-em-idosa-que-morreu-com-sintomas-de-virus-respiratorios-em-campo-grande.ghtml", "URL")</f>
        <v/>
      </c>
      <c r="K1060">
        <f>HYPERLINK("https://raw.githubusercontent.com/marcosmapl/dataset_imigrantes/main/noticias_filtered/g1/venezuelanos/2020/02_mar/html/g1_f9e29406-2321-11ed-b24f-6dbe51e79fca_3728.html", "HTML")</f>
        <v/>
      </c>
      <c r="L1060">
        <f>HYPERLINK("https://raw.githubusercontent.com/marcosmapl/dataset_imigrantes/main/noticias_filtered/g1/venezuelanos/2020/02_mar/txt/g1_f9e29406-2321-11ed-b24f-6dbe51e79fca_3728.txt", "TXT")</f>
        <v/>
      </c>
    </row>
    <row r="1061">
      <c r="A1061" s="1" t="n">
        <v>1059</v>
      </c>
      <c r="B1061" t="n">
        <v>2020</v>
      </c>
      <c r="C1061" s="2" t="n">
        <v>43912.83460862269</v>
      </c>
      <c r="D1061" t="inlineStr">
        <is>
          <t>G1</t>
        </is>
      </c>
      <c r="E1061" t="inlineStr">
        <is>
          <t>HAITIANOS</t>
        </is>
      </c>
      <c r="F1061" t="inlineStr">
        <is>
          <t>CIÊNCIA E SAÚDE</t>
        </is>
      </c>
      <c r="G1061" t="inlineStr">
        <is>
          <t>BBC</t>
        </is>
      </c>
      <c r="H1061" t="inlineStr">
        <is>
          <t>CINCO EPIDEMIAS QUE AJUDARAM A MUDAR O RUMO DA HISTÓRIA</t>
        </is>
      </c>
      <c r="I1061" t="inlineStr">
        <is>
          <t>MUITAS DOENÇAS AO LONGO DA HISTÓRIA TIVERAM ENORMES EFEITOS A LONGO PRAZO: DESDE A QUEDA DAS DINASTIAS, PASSANDO PELO AUMENTO NO COLONIALISMO, E CHEGANDO AO ESFRIAMENTO DO CLIMA.</t>
        </is>
      </c>
      <c r="J1061">
        <f>HYPERLINK("https://g1.globo.com/ciencia-e-saude/noticia/2020/03/22/cinco-epidemias-que-ajudaram-a-mudar-o-rumo-da-historia.ghtml", "URL")</f>
        <v/>
      </c>
      <c r="K1061">
        <f>HYPERLINK("https://raw.githubusercontent.com/marcosmapl/dataset_imigrantes/main/noticias_filtered/g1/haitianos/2020/02_mar/html/g1_0d837dd0-2314-11ed-b24f-6dbe51e79fca_3042.html", "HTML")</f>
        <v/>
      </c>
      <c r="L1061">
        <f>HYPERLINK("https://raw.githubusercontent.com/marcosmapl/dataset_imigrantes/main/noticias_filtered/g1/haitianos/2020/02_mar/txt/g1_0d837dd0-2314-11ed-b24f-6dbe51e79fca_3042.txt", "TXT")</f>
        <v/>
      </c>
    </row>
    <row r="1062">
      <c r="A1062" s="1" t="n">
        <v>1060</v>
      </c>
      <c r="B1062" t="n">
        <v>2020</v>
      </c>
      <c r="C1062" s="2" t="n">
        <v>43912.71193326389</v>
      </c>
      <c r="D1062" t="inlineStr">
        <is>
          <t>G1</t>
        </is>
      </c>
      <c r="E1062" t="inlineStr">
        <is>
          <t>VENEZUELANOS</t>
        </is>
      </c>
      <c r="F1062" t="inlineStr">
        <is>
          <t>RORAIMA</t>
        </is>
      </c>
      <c r="G1062" t="inlineStr">
        <is>
          <t>SUZANNE OLIVEIRA, G1 RR — BOA VISTA</t>
        </is>
      </c>
      <c r="H1062" t="inlineStr">
        <is>
          <t>OPERAÇÃO ACOLHIDA RETIRA IMIGRANTES VENEZUELANOS QUE OCUPAVAM ANTIGO PRÉDIO DA EDUCAÇÃO EM BOA VISTA</t>
        </is>
      </c>
      <c r="I1062" t="inlineStr">
        <is>
          <t>ATUALMENTE, CERCA DE 3 MIL PESSOAS VIVEM EM 11 OCUPAÇÕES PÚBLICAS E PRIVADAS NA CAPITAL.</t>
        </is>
      </c>
      <c r="J1062">
        <f>HYPERLINK("https://g1.globo.com/rr/roraima/noticia/2020/03/22/operacao-acolhida-retira-imigrantes-venezuelanos-que-ocupavam-antigo-predio-da-educacao-em-boa-vista.ghtml", "URL")</f>
        <v/>
      </c>
      <c r="K1062">
        <f>HYPERLINK("https://raw.githubusercontent.com/marcosmapl/dataset_imigrantes/main/noticias_filtered/g1/venezuelanos/2020/02_mar/html/g1_6571a026-230a-11ed-b24f-6dbe51e79fca_2503.html", "HTML")</f>
        <v/>
      </c>
      <c r="L1062">
        <f>HYPERLINK("https://raw.githubusercontent.com/marcosmapl/dataset_imigrantes/main/noticias_filtered/g1/venezuelanos/2020/02_mar/txt/g1_6571a026-230a-11ed-b24f-6dbe51e79fca_2503.txt", "TXT")</f>
        <v/>
      </c>
    </row>
    <row r="1063">
      <c r="A1063" s="1" t="n">
        <v>1061</v>
      </c>
      <c r="B1063" t="n">
        <v>2020</v>
      </c>
      <c r="C1063" s="2" t="n">
        <v>43912.66509164352</v>
      </c>
      <c r="D1063" t="inlineStr">
        <is>
          <t>G1</t>
        </is>
      </c>
      <c r="E1063" t="inlineStr">
        <is>
          <t>VENEZUELANOS</t>
        </is>
      </c>
      <c r="F1063" t="inlineStr">
        <is>
          <t>MATO GROSSO DO SUL</t>
        </is>
      </c>
      <c r="G1063" t="inlineStr">
        <is>
          <t>G1MS E TV MORENA</t>
        </is>
      </c>
      <c r="H1063" t="inlineStr">
        <is>
          <t>SESAU INVESTIGA MORTE DE IDOSA POR SUSPEITA DE CORONAVÍRUS EM MS</t>
        </is>
      </c>
      <c r="I1063" t="inlineStr">
        <is>
          <t>VENEZUELANA DE 63 ANOS MORREU NA MADRUGADA DO DIA 21 NA UNIDADE DE PRONTO ATENDIMENTO (UPA) LEBLON, EM CAMPO GRANDE (MS).</t>
        </is>
      </c>
      <c r="J1063">
        <f>HYPERLINK("https://g1.globo.com/ms/mato-grosso-do-sul/noticia/2020/03/22/sesau-investiga-morte-de-idosa-por-suspeita-de-coronavirus-em-ms.ghtml", "URL")</f>
        <v/>
      </c>
      <c r="K1063">
        <f>HYPERLINK("https://raw.githubusercontent.com/marcosmapl/dataset_imigrantes/main/noticias_filtered/g1/venezuelanos/2020/02_mar/html/g1_c57d8f54-2317-11ed-b24f-6dbe51e79fca_3228.html", "HTML")</f>
        <v/>
      </c>
      <c r="L1063">
        <f>HYPERLINK("https://raw.githubusercontent.com/marcosmapl/dataset_imigrantes/main/noticias_filtered/g1/venezuelanos/2020/02_mar/txt/g1_c57d8f54-2317-11ed-b24f-6dbe51e79fca_3228.txt", "TXT")</f>
        <v/>
      </c>
    </row>
    <row r="1064">
      <c r="A1064" s="1" t="n">
        <v>1062</v>
      </c>
      <c r="B1064" t="n">
        <v>2020</v>
      </c>
      <c r="C1064" s="2" t="n">
        <v>43910.9417824074</v>
      </c>
      <c r="D1064" t="inlineStr">
        <is>
          <t>A CRITICA</t>
        </is>
      </c>
      <c r="E1064" t="inlineStr">
        <is>
          <t>AMBOS</t>
        </is>
      </c>
      <c r="F1064" t="inlineStr">
        <is>
          <t>MANAUS</t>
        </is>
      </c>
      <c r="G1064" t="inlineStr">
        <is>
          <t>LARISSA CAVALCANTE</t>
        </is>
      </c>
      <c r="H1064" t="inlineStr">
        <is>
          <t>CDL ESTIMA QUEDA DE ATÉ 35% NO FATURAMENTO, EM MARÇO, DO COMÉRCIO EM MANAUS</t>
        </is>
      </c>
      <c r="I1064" t="inlineStr">
        <is>
          <t>SE SITUAÇÃO PERSISTIR, O ÓRGÃO ESTIMA QUE PODE OCASIONAR ATÉ 5 MIL DEMISSÕES</t>
        </is>
      </c>
      <c r="J1064">
        <f>HYPERLINK("https://www.acritica.com/manaus/cdl-estima-queda-de-ate-35-no-faturamento-em-marco-do-comercio-em-manaus-1.45146", "URL")</f>
        <v/>
      </c>
      <c r="K1064">
        <f>HYPERLINK("https://raw.githubusercontent.com/marcosmapl/dataset_imigrantes/main/noticias_filtered/a_critica/ambos/2020/02_mar/html/1.45146_152.html", "HTML")</f>
        <v/>
      </c>
      <c r="L1064">
        <f>HYPERLINK("https://raw.githubusercontent.com/marcosmapl/dataset_imigrantes/main/noticias_filtered/a_critica/ambos/2020/02_mar/txt/1.45146_152.txt", "TXT")</f>
        <v/>
      </c>
    </row>
    <row r="1065">
      <c r="A1065" s="1" t="n">
        <v>1063</v>
      </c>
      <c r="B1065" t="n">
        <v>2020</v>
      </c>
      <c r="C1065" s="2" t="n">
        <v>43908.93106481482</v>
      </c>
      <c r="D1065" t="inlineStr">
        <is>
          <t>A CRITICA</t>
        </is>
      </c>
      <c r="E1065" t="inlineStr">
        <is>
          <t>VENEZUELANOS</t>
        </is>
      </c>
      <c r="F1065" t="inlineStr">
        <is>
          <t>OPINIAO</t>
        </is>
      </c>
      <c r="G1065" t="inlineStr">
        <is>
          <t>DULCE RODRIGUEZ</t>
        </is>
      </c>
      <c r="H1065" t="inlineStr">
        <is>
          <t>FICAR EM CASA É UMA FORMA DE MORTE PARA TRABALHADORES INFORMAIS</t>
        </is>
      </c>
      <c r="I1065" t="inlineStr">
        <is>
          <t>AMAZONENSE COMEÇOU "TIRANDO GRAÇA" DA PANDEMIA, MAS DEPOIS O MEDO DO CORONAVÍRUS ESVAZIOU AS RUAS DA CIDADE, DEIXANDO TRABALHADORES AFLITOS</t>
        </is>
      </c>
      <c r="J1065">
        <f>HYPERLINK("https://www.acritica.com/opiniao/ficar-em-casa-e-uma-forma-de-morte-para-trabalhadores-informais-1.216512", "URL")</f>
        <v/>
      </c>
      <c r="K1065">
        <f>HYPERLINK("https://raw.githubusercontent.com/marcosmapl/dataset_imigrantes/main/noticias_filtered/a_critica/venezuelanos/2020/02_mar/html/1.216512_1161.html", "HTML")</f>
        <v/>
      </c>
      <c r="L1065">
        <f>HYPERLINK("https://raw.githubusercontent.com/marcosmapl/dataset_imigrantes/main/noticias_filtered/a_critica/venezuelanos/2020/02_mar/txt/1.216512_1161.txt", "TXT")</f>
        <v/>
      </c>
    </row>
    <row r="1066">
      <c r="A1066" s="1" t="n">
        <v>1064</v>
      </c>
      <c r="B1066" t="n">
        <v>2020</v>
      </c>
      <c r="C1066" s="2" t="n">
        <v>43908.91346064815</v>
      </c>
      <c r="D1066" t="inlineStr">
        <is>
          <t>A CRITICA</t>
        </is>
      </c>
      <c r="E1066" t="inlineStr">
        <is>
          <t>VENEZUELANOS</t>
        </is>
      </c>
      <c r="F1066" t="inlineStr"/>
      <c r="G1066" t="inlineStr">
        <is>
          <t>AFP</t>
        </is>
      </c>
      <c r="H1066" t="inlineStr">
        <is>
          <t>FMI NEGA AJUDA DE US$ 5 BI À VENEZUELA PARA COMBATE AO CORONAVÍRUS</t>
        </is>
      </c>
      <c r="I1066" t="inlineStr">
        <is>
          <t>SEGUNDO O FUNDO, FALTA "CLAREZA" ENVOLVENDO O RECONHECIMENTO INTERNACIONAL DO GOVERNO DA VENEZUELA</t>
        </is>
      </c>
      <c r="J1066">
        <f>HYPERLINK("https://www.acritica.com/fmi-nega-ajuda-de-us-5-bi-a-venezuela-para-combate-ao-coronavirus-1.46321", "URL")</f>
        <v/>
      </c>
      <c r="K1066">
        <f>HYPERLINK("https://raw.githubusercontent.com/marcosmapl/dataset_imigrantes/main/noticias_filtered/a_critica/venezuelanos/2020/02_mar/html/1.46321_1137.html", "HTML")</f>
        <v/>
      </c>
      <c r="L1066">
        <f>HYPERLINK("https://raw.githubusercontent.com/marcosmapl/dataset_imigrantes/main/noticias_filtered/a_critica/venezuelanos/2020/02_mar/txt/1.46321_1137.txt", "TXT")</f>
        <v/>
      </c>
    </row>
    <row r="1067">
      <c r="A1067" s="1" t="n">
        <v>1065</v>
      </c>
      <c r="B1067" t="n">
        <v>2020</v>
      </c>
      <c r="C1067" s="2" t="n">
        <v>43907.38541666666</v>
      </c>
      <c r="D1067" t="inlineStr">
        <is>
          <t>PORTAL AMAZONIA</t>
        </is>
      </c>
      <c r="E1067" t="inlineStr">
        <is>
          <t>VENEZUELANOS</t>
        </is>
      </c>
      <c r="F1067" t="inlineStr">
        <is>
          <t>AMAZÔNIA INTERNACIONAL,CIDADES</t>
        </is>
      </c>
      <c r="G1067" t="inlineStr">
        <is>
          <t>PORTAL AMAZÔNIA, COM INFORMAÇÕES DA RADIOAGÊNCIA NACIONAL</t>
        </is>
      </c>
      <c r="H1067" t="inlineStr">
        <is>
          <t>ESTADOS DA AMAZÔNIA PEDEM FECHAMENTO DA FRONTEIRA COM VENEZUELA</t>
        </is>
      </c>
      <c r="I1067" t="inlineStr"/>
      <c r="J1067">
        <f>HYPERLINK("https://portalamazonia.com/noticias/cidades/estados-da-amazonia-pedem-fechamento-da-fronteira-com-venezuela", "URL")</f>
        <v/>
      </c>
      <c r="K1067">
        <f>HYPERLINK("https://raw.githubusercontent.com/marcosmapl/dataset_imigrantes/main/noticias_filtered/portal_amazonia/venezuelanos/2020/02_mar/html/24696.30651_1424.html", "HTML")</f>
        <v/>
      </c>
      <c r="L1067">
        <f>HYPERLINK("https://raw.githubusercontent.com/marcosmapl/dataset_imigrantes/main/noticias_filtered/portal_amazonia/venezuelanos/2020/02_mar/txt/24696.30651_1424.txt", "TXT")</f>
        <v/>
      </c>
    </row>
    <row r="1068">
      <c r="A1068" s="1" t="n">
        <v>1066</v>
      </c>
      <c r="B1068" t="n">
        <v>2020</v>
      </c>
      <c r="C1068" s="2" t="n">
        <v>43907.375</v>
      </c>
      <c r="D1068" t="inlineStr">
        <is>
          <t>A CRITICA</t>
        </is>
      </c>
      <c r="E1068" t="inlineStr">
        <is>
          <t>VENEZUELANOS</t>
        </is>
      </c>
      <c r="F1068" t="inlineStr">
        <is>
          <t>SAUDE</t>
        </is>
      </c>
      <c r="G1068" t="inlineStr">
        <is>
          <t>DANIEL AMORIM</t>
        </is>
      </c>
      <c r="H1068" t="inlineStr">
        <is>
          <t>PASSAGEIROS DO TRANSPORTE COLETIVO TEMEM CONTÁGIO DO CORONAVÍRUS EM MANAUS</t>
        </is>
      </c>
      <c r="I1068" t="inlineStr">
        <is>
          <t>USUÁRIOS E MOTORISTAS ADOTARAM USO DE MÁSCARAS CIRÚRGICAS, ALÉM DA DISPONIBILIZAÇÃO DE ÁLCOOL EM GEL NOS ÔNIBUS QUE CIRCULAM PELA CIDADE, PRINCIPALMENTE NOS INEVITÁVEIS HORÁRIOS DE PICO</t>
        </is>
      </c>
      <c r="J1068">
        <f>HYPERLINK("https://www.acritica.com/saude/passageiros-do-transporte-coletivo-temem-contagio-do-coronavirus-em-manaus-1.46451", "URL")</f>
        <v/>
      </c>
      <c r="K1068">
        <f>HYPERLINK("https://raw.githubusercontent.com/marcosmapl/dataset_imigrantes/main/noticias_filtered/a_critica/venezuelanos/2020/02_mar/html/1.46451_762.html", "HTML")</f>
        <v/>
      </c>
      <c r="L1068">
        <f>HYPERLINK("https://raw.githubusercontent.com/marcosmapl/dataset_imigrantes/main/noticias_filtered/a_critica/venezuelanos/2020/02_mar/txt/1.46451_762.txt", "TXT")</f>
        <v/>
      </c>
    </row>
    <row r="1069">
      <c r="A1069" s="1" t="n">
        <v>1067</v>
      </c>
      <c r="B1069" t="n">
        <v>2020</v>
      </c>
      <c r="C1069" s="2" t="n">
        <v>43906.62847222222</v>
      </c>
      <c r="D1069" t="inlineStr">
        <is>
          <t>PORTAL AMAZONIA</t>
        </is>
      </c>
      <c r="E1069" t="inlineStr">
        <is>
          <t>VENEZUELANOS</t>
        </is>
      </c>
      <c r="F1069" t="inlineStr">
        <is>
          <t>NOTÍCIAS,SAÚDE</t>
        </is>
      </c>
      <c r="G1069" t="inlineStr">
        <is>
          <t>PORTAL AMAZÔNIA, COM INFORMAÇÕES DO G1 RORAIMA</t>
        </is>
      </c>
      <c r="H1069" t="inlineStr">
        <is>
          <t>GOVERNADOR DE RORAIMA PEDE FECHAMENTO DE FRONTEIRA POR CAUSA DE PANDEMIA DO CORONAVÍRUS</t>
        </is>
      </c>
      <c r="I1069" t="inlineStr">
        <is>
          <t>SEGUNDO ANTÔNIO DENARIUM, CERCA DE 500 IMIGRANTES CHEGAM TODOS OS DIAS PELA FRONTEIRA COM A VENEZUELA, O QUE PRESSIONA O SISTEMA DE SAÚDE PÚBLICA DO ESTADO</t>
        </is>
      </c>
      <c r="J1069">
        <f>HYPERLINK("https://portalamazonia.com/noticias/governador-de-roraima-pede-fechamento-de-fronteira-por-causa-de-pandemia-do-coronavirus", "URL")</f>
        <v/>
      </c>
      <c r="K1069">
        <f>HYPERLINK("https://raw.githubusercontent.com/marcosmapl/dataset_imigrantes/main/noticias_filtered/portal_amazonia/venezuelanos/2020/02_mar/html/24689.30627_1412.html", "HTML")</f>
        <v/>
      </c>
      <c r="L1069">
        <f>HYPERLINK("https://raw.githubusercontent.com/marcosmapl/dataset_imigrantes/main/noticias_filtered/portal_amazonia/venezuelanos/2020/02_mar/txt/24689.30627_1412.txt", "TXT")</f>
        <v/>
      </c>
    </row>
    <row r="1070">
      <c r="A1070" s="1" t="n">
        <v>1068</v>
      </c>
      <c r="B1070" t="n">
        <v>2020</v>
      </c>
      <c r="C1070" s="2" t="n">
        <v>43904.59018518519</v>
      </c>
      <c r="D1070" t="inlineStr">
        <is>
          <t>A CRITICA</t>
        </is>
      </c>
      <c r="E1070" t="inlineStr">
        <is>
          <t>VENEZUELANOS</t>
        </is>
      </c>
      <c r="F1070" t="inlineStr">
        <is>
          <t>POLICIA</t>
        </is>
      </c>
      <c r="G1070" t="inlineStr">
        <is>
          <t>JAN NOGUEIRA</t>
        </is>
      </c>
      <c r="H1070" t="inlineStr">
        <is>
          <t>VENEZUELANO MORRE APÓS CONFUSÃO COM CELULAR E POSSÍVEL ARMA DE FOGO EM MANAUS</t>
        </is>
      </c>
      <c r="I1070" t="inlineStr">
        <is>
          <t>O HOMEM ESTAVA SENDO ABORDADO PELA POLÍCIA APÓS TER SIDO DENUNCIADO POR AMEAÇAS E AGRESSÕES. ELE FOI ATINGIDO POR TIROS APÓS TER SIMULADO SACAR UMA ARMA DE FOGO QUE, NO ENTANTO, ERA O SEU CELULAR</t>
        </is>
      </c>
      <c r="J1070">
        <f>HYPERLINK("https://www.acritica.com/policia/venezuelano-morre-apos-confus-o-com-celular-e-possivel-arma-de-fogo-em-manaus-1.45391", "URL")</f>
        <v/>
      </c>
      <c r="K1070">
        <f>HYPERLINK("https://raw.githubusercontent.com/marcosmapl/dataset_imigrantes/main/noticias_filtered/a_critica/venezuelanos/2020/02_mar/html/1.45391_400.html", "HTML")</f>
        <v/>
      </c>
      <c r="L1070">
        <f>HYPERLINK("https://raw.githubusercontent.com/marcosmapl/dataset_imigrantes/main/noticias_filtered/a_critica/venezuelanos/2020/02_mar/txt/1.45391_400.txt", "TXT")</f>
        <v/>
      </c>
    </row>
    <row r="1071">
      <c r="A1071" s="1" t="n">
        <v>1069</v>
      </c>
      <c r="B1071" t="n">
        <v>2020</v>
      </c>
      <c r="C1071" s="2" t="n">
        <v>43902.47569444445</v>
      </c>
      <c r="D1071" t="inlineStr">
        <is>
          <t>A CRITICA</t>
        </is>
      </c>
      <c r="E1071" t="inlineStr">
        <is>
          <t>VENEZUELANOS</t>
        </is>
      </c>
      <c r="F1071" t="inlineStr">
        <is>
          <t>MANAUS</t>
        </is>
      </c>
      <c r="G1071" t="inlineStr">
        <is>
          <t>PORTAL A CRÍTICA</t>
        </is>
      </c>
      <c r="H1071" t="inlineStr">
        <is>
          <t>REFUGIADOS VENEZUELANOS RECEBEM AUXÍLIO SOCIAL EM ABRIGO DE MANAUS</t>
        </is>
      </c>
      <c r="I1071" t="inlineStr">
        <is>
          <t>SITUADO NO BAIRRO COROADO, MAIS DE 200 ATENDIMENTOS FORAM REALIZADOS PELO COMITÊ INTERNACIONAL DA CRUZ VERMELHA</t>
        </is>
      </c>
      <c r="J1071">
        <f>HYPERLINK("https://www.acritica.com/manaus/refugiados-venezuelanos-recebem-auxilio-social-em-abrigo-de-manaus-1.45494", "URL")</f>
        <v/>
      </c>
      <c r="K1071">
        <f>HYPERLINK("https://raw.githubusercontent.com/marcosmapl/dataset_imigrantes/main/noticias_filtered/a_critica/venezuelanos/2020/02_mar/html/1.45494_1015.html", "HTML")</f>
        <v/>
      </c>
      <c r="L1071">
        <f>HYPERLINK("https://raw.githubusercontent.com/marcosmapl/dataset_imigrantes/main/noticias_filtered/a_critica/venezuelanos/2020/02_mar/txt/1.45494_1015.txt", "TXT")</f>
        <v/>
      </c>
    </row>
    <row r="1072">
      <c r="A1072" s="1" t="n">
        <v>1070</v>
      </c>
      <c r="B1072" t="n">
        <v>2020</v>
      </c>
      <c r="C1072" s="2" t="n">
        <v>43900.74722222222</v>
      </c>
      <c r="D1072" t="inlineStr">
        <is>
          <t>A CRITICA</t>
        </is>
      </c>
      <c r="E1072" t="inlineStr">
        <is>
          <t>VENEZUELANOS</t>
        </is>
      </c>
      <c r="F1072" t="inlineStr">
        <is>
          <t>MANAUS</t>
        </is>
      </c>
      <c r="G1072" t="inlineStr">
        <is>
          <t>ALEXANDRE PEQUENO</t>
        </is>
      </c>
      <c r="H1072" t="inlineStr">
        <is>
          <t>MAESTRO AMAZONENSE ESTREIA NA ORQUESTRA FILARMÔNICA DE LOS ANGELES</t>
        </is>
      </c>
      <c r="I1072" t="inlineStr">
        <is>
          <t>O TRABALHO EM LOS ANGELES É RESULTADO DO "DUDAMEL FELLOWS PROGRAM" NO QUAL CARRIEL FOI SELECIONADO PARA PARTICIPAR NO ANO PASSADO</t>
        </is>
      </c>
      <c r="J1072">
        <f>HYPERLINK("https://www.acritica.com/manaus/maestro-amazonense-estreia-na-orquestra-filarmonica-de-los-angeles-1.45521", "URL")</f>
        <v/>
      </c>
      <c r="K1072">
        <f>HYPERLINK("https://raw.githubusercontent.com/marcosmapl/dataset_imigrantes/main/noticias_filtered/a_critica/venezuelanos/2020/02_mar/html/1.45521_88.html", "HTML")</f>
        <v/>
      </c>
      <c r="L1072">
        <f>HYPERLINK("https://raw.githubusercontent.com/marcosmapl/dataset_imigrantes/main/noticias_filtered/a_critica/venezuelanos/2020/02_mar/txt/1.45521_88.txt", "TXT")</f>
        <v/>
      </c>
    </row>
    <row r="1073">
      <c r="A1073" s="1" t="n">
        <v>1071</v>
      </c>
      <c r="B1073" t="n">
        <v>2020</v>
      </c>
      <c r="C1073" s="2" t="n">
        <v>43899.56193287037</v>
      </c>
      <c r="D1073" t="inlineStr">
        <is>
          <t>A CRITICA</t>
        </is>
      </c>
      <c r="E1073" t="inlineStr">
        <is>
          <t>VENEZUELANOS</t>
        </is>
      </c>
      <c r="F1073" t="inlineStr"/>
      <c r="G1073" t="inlineStr">
        <is>
          <t>AFP</t>
        </is>
      </c>
      <c r="H1073" t="inlineStr">
        <is>
          <t>NOS EUA, BOLSONARO ASSINA ACORDO MILITAR QUE FACILITA IMPORTAÇÃO DE ARMAS</t>
        </is>
      </c>
      <c r="I1073" t="inlineStr">
        <is>
          <t>ASSINATURA OCORRE NO DIA SEGUINTE AO PRESIDENTE AMERICANO, DONALD TRUMP, RECEBER BOLSONARO EM SUA RESIDÊNCIA E CLUBE DE GOLFE MAR-A-LAGO, EM PALM BEACH, 113 KM AO NORTE DE MIAMI.</t>
        </is>
      </c>
      <c r="J1073">
        <f>HYPERLINK("https://www.acritica.com/nos-eua-bolsonaro-assina-acordo-militar-que-facilita-importac-o-de-armas-1.46796", "URL")</f>
        <v/>
      </c>
      <c r="K1073">
        <f>HYPERLINK("https://raw.githubusercontent.com/marcosmapl/dataset_imigrantes/main/noticias_filtered/a_critica/venezuelanos/2020/02_mar/html/1.46796_822.html", "HTML")</f>
        <v/>
      </c>
      <c r="L1073">
        <f>HYPERLINK("https://raw.githubusercontent.com/marcosmapl/dataset_imigrantes/main/noticias_filtered/a_critica/venezuelanos/2020/02_mar/txt/1.46796_822.txt", "TXT")</f>
        <v/>
      </c>
    </row>
    <row r="1074">
      <c r="A1074" s="1" t="n">
        <v>1072</v>
      </c>
      <c r="B1074" t="n">
        <v>2020</v>
      </c>
      <c r="C1074" s="2" t="n">
        <v>43898.98667824074</v>
      </c>
      <c r="D1074" t="inlineStr">
        <is>
          <t>A CRITICA</t>
        </is>
      </c>
      <c r="E1074" t="inlineStr">
        <is>
          <t>VENEZUELANOS</t>
        </is>
      </c>
      <c r="F1074" t="inlineStr">
        <is>
          <t>ESPORTES</t>
        </is>
      </c>
      <c r="G1074" t="inlineStr">
        <is>
          <t>LEONARDO SENA</t>
        </is>
      </c>
      <c r="H1074" t="inlineStr">
        <is>
          <t>LONGE DO PAÍS DE ORIGEM, MULHERES REPRESENTAM A FORÇA DO FUTEBOL FEMININO NO 3B</t>
        </is>
      </c>
      <c r="I1074" t="inlineStr">
        <is>
          <t>SEIS JOGADORAS E UMA PROFISSIONAL DE COMUNICAÇÃO FALAM SOBRE A RECEPTIVIDADE DOS AMAZONENSES, O DURO DESAFIO DE TRABALHAR LONGE DE 'CASA' E ATÉ MESMO DE FAMILIARES</t>
        </is>
      </c>
      <c r="J1074">
        <f>HYPERLINK("https://www.acritica.com/esportes/longe-do-pais-de-origem-mulheres-representam-a-forca-do-futebol-feminino-no-3b-1.46817", "URL")</f>
        <v/>
      </c>
      <c r="K1074">
        <f>HYPERLINK("https://raw.githubusercontent.com/marcosmapl/dataset_imigrantes/main/noticias_filtered/a_critica/venezuelanos/2020/02_mar/html/1.46817_632.html", "HTML")</f>
        <v/>
      </c>
      <c r="L1074">
        <f>HYPERLINK("https://raw.githubusercontent.com/marcosmapl/dataset_imigrantes/main/noticias_filtered/a_critica/venezuelanos/2020/02_mar/txt/1.46817_632.txt", "TXT")</f>
        <v/>
      </c>
    </row>
    <row r="1075">
      <c r="A1075" s="1" t="n">
        <v>1073</v>
      </c>
      <c r="B1075" t="n">
        <v>2020</v>
      </c>
      <c r="C1075" s="2" t="n">
        <v>43897.77380490741</v>
      </c>
      <c r="D1075" t="inlineStr">
        <is>
          <t>G1</t>
        </is>
      </c>
      <c r="E1075" t="inlineStr">
        <is>
          <t>VENEZUELANOS</t>
        </is>
      </c>
      <c r="F1075" t="inlineStr">
        <is>
          <t>PARAÍBA</t>
        </is>
      </c>
      <c r="G1075" t="inlineStr">
        <is>
          <t>G1 PB</t>
        </is>
      </c>
      <c r="H1075" t="inlineStr">
        <is>
          <t>REFUGIADA NO BRASIL, PSICÓLOGA VENEZUELANA RELATA SUPERAÇÃO COMO VENDEDORA DE SORVETES</t>
        </is>
      </c>
      <c r="I1075" t="inlineStr">
        <is>
          <t>LEIDY RONDON, DE 24 ANOS, CONTA SUPERAÇÃO PARA DEIXAR O PAÍS QUE NASCEU E VIVER COMO REFUGIADA NO BRASIL. VENEZUELANA AJUDA FAMÍLIA COM DINHEIRO DE TRABALHO EM REDE DE FAST FOOD.</t>
        </is>
      </c>
      <c r="J1075">
        <f>HYPERLINK("https://g1.globo.com/pb/paraiba/noticia/2020/03/07/refugiada-no-brasil-psicologa-venezuelana-relata-superacao-como-vendedora-de-sorvetes.ghtml", "URL")</f>
        <v/>
      </c>
      <c r="K1075">
        <f>HYPERLINK("https://raw.githubusercontent.com/marcosmapl/dataset_imigrantes/main/noticias_filtered/g1/venezuelanos/2020/02_mar/html/g1_db2334dc-231a-11ed-b24f-6dbe51e79fca_3357.html", "HTML")</f>
        <v/>
      </c>
      <c r="L1075">
        <f>HYPERLINK("https://raw.githubusercontent.com/marcosmapl/dataset_imigrantes/main/noticias_filtered/g1/venezuelanos/2020/02_mar/txt/g1_db2334dc-231a-11ed-b24f-6dbe51e79fca_3357.txt", "TXT")</f>
        <v/>
      </c>
    </row>
    <row r="1076">
      <c r="A1076" s="1" t="n">
        <v>1074</v>
      </c>
      <c r="B1076" t="n">
        <v>2020</v>
      </c>
      <c r="C1076" s="2" t="n">
        <v>43896.775</v>
      </c>
      <c r="D1076" t="inlineStr">
        <is>
          <t>A CRITICA</t>
        </is>
      </c>
      <c r="E1076" t="inlineStr">
        <is>
          <t>VENEZUELANOS</t>
        </is>
      </c>
      <c r="F1076" t="inlineStr">
        <is>
          <t>OPINIAO</t>
        </is>
      </c>
      <c r="G1076" t="inlineStr">
        <is>
          <t>DULCE RODRIGUEZ</t>
        </is>
      </c>
      <c r="H1076" t="inlineStr">
        <is>
          <t>COMO A IMPRESSÃO DIGITAL VIROU LEMBRANÇA DE RACIONAMENTO</t>
        </is>
      </c>
      <c r="I1076" t="inlineStr">
        <is>
          <t>EQUIPAMENTO USADO PARA EMITIR DE CARTEIRA DE IDENTIDADE EM MANAUS ME FEZ "VIAJAR NO TEMPO" ATÉ A VENEZUELA, ONDE DIGITAL ERA USADA PARA LIMITAR COMPRAS</t>
        </is>
      </c>
      <c r="J1076">
        <f>HYPERLINK("https://www.acritica.com/opiniao/como-a-impress-o-digital-virou-lembranca-de-racionamento-1.216534", "URL")</f>
        <v/>
      </c>
      <c r="K1076">
        <f>HYPERLINK("https://raw.githubusercontent.com/marcosmapl/dataset_imigrantes/main/noticias_filtered/a_critica/venezuelanos/2020/02_mar/html/1.216534_1059.html", "HTML")</f>
        <v/>
      </c>
      <c r="L1076">
        <f>HYPERLINK("https://raw.githubusercontent.com/marcosmapl/dataset_imigrantes/main/noticias_filtered/a_critica/venezuelanos/2020/02_mar/txt/1.216534_1059.txt", "TXT")</f>
        <v/>
      </c>
    </row>
    <row r="1077">
      <c r="A1077" s="1" t="n">
        <v>1075</v>
      </c>
      <c r="B1077" t="n">
        <v>2020</v>
      </c>
      <c r="C1077" s="2" t="n">
        <v>43894.91045725694</v>
      </c>
      <c r="D1077" t="inlineStr">
        <is>
          <t>G1</t>
        </is>
      </c>
      <c r="E1077" t="inlineStr">
        <is>
          <t>VENEZUELANOS</t>
        </is>
      </c>
      <c r="F1077" t="inlineStr">
        <is>
          <t>PARAÍBA</t>
        </is>
      </c>
      <c r="G1077" t="inlineStr">
        <is>
          <t>PLÍNIO ALMEIDA, TV CABO BRANCO, G1 PB</t>
        </is>
      </c>
      <c r="H1077" t="inlineStr">
        <is>
          <t>FAMÍLIAS VENEZUELANAS PODEM SER REALOCADAS PARA PRÉDIO EM JOÃO PESSOA, DIZ MPF</t>
        </is>
      </c>
      <c r="I1077" t="inlineStr">
        <is>
          <t>LOCAL SERÁ UMA MORADIA TEMPORÁRIA PARA O GRUPO QUE ESTÁ MORANDO NO BAIRRO DO RÓGER.</t>
        </is>
      </c>
      <c r="J1077">
        <f>HYPERLINK("https://g1.globo.com/pb/paraiba/noticia/2020/03/04/familias-venezuelanas-podem-ser-realocados-para-predio-em-joao-pessoa-diz-mpf.ghtml", "URL")</f>
        <v/>
      </c>
      <c r="K1077">
        <f>HYPERLINK("https://raw.githubusercontent.com/marcosmapl/dataset_imigrantes/main/noticias_filtered/g1/venezuelanos/2020/02_mar/html/g1_45726b42-231a-11ed-b24f-6dbe51e79fca_3326.html", "HTML")</f>
        <v/>
      </c>
      <c r="L1077">
        <f>HYPERLINK("https://raw.githubusercontent.com/marcosmapl/dataset_imigrantes/main/noticias_filtered/g1/venezuelanos/2020/02_mar/txt/g1_45726b42-231a-11ed-b24f-6dbe51e79fca_3326.txt", "TXT")</f>
        <v/>
      </c>
    </row>
    <row r="1078">
      <c r="A1078" s="1" t="n">
        <v>1076</v>
      </c>
      <c r="B1078" t="n">
        <v>2020</v>
      </c>
      <c r="C1078" s="2" t="n">
        <v>43893.44513888889</v>
      </c>
      <c r="D1078" t="inlineStr">
        <is>
          <t>A CRITICA</t>
        </is>
      </c>
      <c r="E1078" t="inlineStr">
        <is>
          <t>AMBOS</t>
        </is>
      </c>
      <c r="F1078" t="inlineStr">
        <is>
          <t>MANAUS</t>
        </is>
      </c>
      <c r="G1078" t="inlineStr">
        <is>
          <t>PORTAL A CRÍTICA</t>
        </is>
      </c>
      <c r="H1078" t="inlineStr">
        <is>
          <t>AÇÃO DE CADASTRO DE MORADORES DO MONTE HOREBE AVANÇA E ENTRA NO 2º DIA</t>
        </is>
      </c>
      <c r="I1078" t="inlineStr">
        <is>
          <t>GOVERNO ESPERA QUE O CADASTRO PARA ENCAMINHAMENTO DOS ANTIGOS MORADORES  DA INVASÃO TERMINE NESTA TERÇA-FEIRA (3). PRIMEIRAS FAMÍLIAS JÁ COMEÇAM A RECEBER ALUGUEL SOCIAL NO VALOR DE R$ 600</t>
        </is>
      </c>
      <c r="J1078">
        <f>HYPERLINK("https://www.acritica.com/manaus/ac-o-de-cadastro-de-moradores-do-monte-horebe-avanca-e-entra-no-2-dia-1.47257", "URL")</f>
        <v/>
      </c>
      <c r="K1078">
        <f>HYPERLINK("https://raw.githubusercontent.com/marcosmapl/dataset_imigrantes/main/noticias_filtered/a_critica/ambos/2020/02_mar/html/1.47257_525.html", "HTML")</f>
        <v/>
      </c>
      <c r="L1078">
        <f>HYPERLINK("https://raw.githubusercontent.com/marcosmapl/dataset_imigrantes/main/noticias_filtered/a_critica/ambos/2020/02_mar/txt/1.47257_525.txt", "TXT")</f>
        <v/>
      </c>
    </row>
    <row r="1079">
      <c r="A1079" s="1" t="n">
        <v>1077</v>
      </c>
      <c r="B1079" t="n">
        <v>2020</v>
      </c>
      <c r="C1079" s="2" t="n">
        <v>43892.83667824074</v>
      </c>
      <c r="D1079" t="inlineStr">
        <is>
          <t>A CRITICA</t>
        </is>
      </c>
      <c r="E1079" t="inlineStr">
        <is>
          <t>VENEZUELANOS</t>
        </is>
      </c>
      <c r="F1079" t="inlineStr">
        <is>
          <t>OPINIAO</t>
        </is>
      </c>
      <c r="G1079" t="inlineStr">
        <is>
          <t>DULCE RODRIGUEZ</t>
        </is>
      </c>
      <c r="H1079" t="inlineStr">
        <is>
          <t>DA VENEZUELA PARA MANAUS: MEU OLHAR DESDE O EXÍLIO</t>
        </is>
      </c>
      <c r="I1079" t="inlineStr">
        <is>
          <t>NESTE ESPAÇO, VOU LHES DESCREVER MINHAS VIVÊNCIAS, DESAFIOS E LUTAS EM MANAUS, CONTRA AS BARREIRAS COMO IDIOMA E AS CULTURAIS</t>
        </is>
      </c>
      <c r="J1079">
        <f>HYPERLINK("https://www.acritica.com/opiniao/da-venezuela-para-manaus-meu-olhar-desde-o-exilio-1.216543", "URL")</f>
        <v/>
      </c>
      <c r="K1079">
        <f>HYPERLINK("https://raw.githubusercontent.com/marcosmapl/dataset_imigrantes/main/noticias_filtered/a_critica/venezuelanos/2020/02_mar/html/1.216543_215.html", "HTML")</f>
        <v/>
      </c>
      <c r="L1079">
        <f>HYPERLINK("https://raw.githubusercontent.com/marcosmapl/dataset_imigrantes/main/noticias_filtered/a_critica/venezuelanos/2020/02_mar/txt/1.216543_215.txt", "TXT")</f>
        <v/>
      </c>
    </row>
    <row r="1080">
      <c r="A1080" s="1" t="n">
        <v>1078</v>
      </c>
      <c r="B1080" t="n">
        <v>2020</v>
      </c>
      <c r="C1080" s="2" t="n">
        <v>43892.54861111111</v>
      </c>
      <c r="D1080" t="inlineStr">
        <is>
          <t>A CRITICA</t>
        </is>
      </c>
      <c r="E1080" t="inlineStr">
        <is>
          <t>AMBOS</t>
        </is>
      </c>
      <c r="F1080" t="inlineStr">
        <is>
          <t>MANAUS</t>
        </is>
      </c>
      <c r="G1080" t="inlineStr">
        <is>
          <t>CLEY MEDEIROS</t>
        </is>
      </c>
      <c r="H1080" t="inlineStr">
        <is>
          <t>MONTE HOREBE: CASAS DE CADASTRADOS SÓ SERÃO DEMOLIDAS APÓS ACORDO DE MORADIA</t>
        </is>
      </c>
      <c r="I1080" t="inlineStr">
        <is>
          <t>OUTRAS EDIFICAÇÕES NÃO RESIDENCIAIS E AQUELAS QUE ESTÃO DESOCUPADAS DEVEM SER DEMOLIDAS HOJE, AFIRMA SECRETARIA DE SEGURANÇA PÚBLICA (SSP-AM)</t>
        </is>
      </c>
      <c r="J1080">
        <f>HYPERLINK("https://www.acritica.com/manaus/monte-horebe-casas-de-cadastrados-so-ser-o-demolidas-apos-acordo-de-moradia-1.47532", "URL")</f>
        <v/>
      </c>
      <c r="K1080">
        <f>HYPERLINK("https://raw.githubusercontent.com/marcosmapl/dataset_imigrantes/main/noticias_filtered/a_critica/ambos/2020/02_mar/html/1.47532_865.html", "HTML")</f>
        <v/>
      </c>
      <c r="L1080">
        <f>HYPERLINK("https://raw.githubusercontent.com/marcosmapl/dataset_imigrantes/main/noticias_filtered/a_critica/ambos/2020/02_mar/txt/1.47532_865.txt", "TXT")</f>
        <v/>
      </c>
    </row>
    <row r="1081">
      <c r="A1081" s="1" t="n">
        <v>1079</v>
      </c>
      <c r="B1081" t="n">
        <v>2020</v>
      </c>
      <c r="C1081" s="2" t="n">
        <v>43887.83646990741</v>
      </c>
      <c r="D1081" t="inlineStr">
        <is>
          <t>A CRITICA</t>
        </is>
      </c>
      <c r="E1081" t="inlineStr">
        <is>
          <t>VENEZUELANOS</t>
        </is>
      </c>
      <c r="F1081" t="inlineStr"/>
      <c r="G1081" t="inlineStr">
        <is>
          <t>PORTAL A CRÍTICA</t>
        </is>
      </c>
      <c r="H1081" t="inlineStr">
        <is>
          <t>CURSO DE PORTUGUÊS PARA IMIGRANTES ESTÁ COM INSCRIÇÕES ABERTAS EM MANAUS</t>
        </is>
      </c>
      <c r="I1081" t="inlineStr">
        <is>
          <t>PROJETO SOCIAL DA IGREJA DA IGREJA 'CHAMA CHURCH' OFERECE AULAS PARA NÍVEL BÁSICO E INTERMEDIÁRIO. CURSO INICIA NA PRÓXIMA SEGUNDA-FEIRA (2)</t>
        </is>
      </c>
      <c r="J1081">
        <f>HYPERLINK("https://www.acritica.com/curso-de-portugues-para-imigrantes-esta-com-inscric-es-abertas-em-manaus-1.47699", "URL")</f>
        <v/>
      </c>
      <c r="K1081">
        <f>HYPERLINK("https://raw.githubusercontent.com/marcosmapl/dataset_imigrantes/main/noticias_filtered/a_critica/venezuelanos/2020/01_fev/html/1.47699_1060.html", "HTML")</f>
        <v/>
      </c>
      <c r="L1081">
        <f>HYPERLINK("https://raw.githubusercontent.com/marcosmapl/dataset_imigrantes/main/noticias_filtered/a_critica/venezuelanos/2020/01_fev/txt/1.47699_1060.txt", "TXT")</f>
        <v/>
      </c>
    </row>
    <row r="1082">
      <c r="A1082" s="1" t="n">
        <v>1080</v>
      </c>
      <c r="B1082" t="n">
        <v>2020</v>
      </c>
      <c r="C1082" s="2" t="n">
        <v>43886.88924145833</v>
      </c>
      <c r="D1082" t="inlineStr">
        <is>
          <t>G1</t>
        </is>
      </c>
      <c r="E1082" t="inlineStr">
        <is>
          <t>HAITIANOS</t>
        </is>
      </c>
      <c r="F1082" t="inlineStr">
        <is>
          <t>MUNDO</t>
        </is>
      </c>
      <c r="G1082" t="inlineStr">
        <is>
          <t>BBC</t>
        </is>
      </c>
      <c r="H1082" t="inlineStr">
        <is>
          <t>FOGO, TIROS E RUAS FECHADAS: AS IMAGENS DO 'DIA DE GUERRA' DOS POLICIAIS EM PROTESTO NO HAITI</t>
        </is>
      </c>
      <c r="I1082" t="inlineStr">
        <is>
          <t>EM PROTESTO POR MELHORES SALÁRIOS, POLICIAIS DO HAITI ATACARAM A SEDE DO EXÉRCITO DO PAÍS, CAUSANDO UM 'DIA DE GUERRA' EM PORTO PRÍNCIPE. OS MANIFESTANTES PEDEM A RENÚNCIA DO PRESIDENTE JOVENEL MOÏSE, QUE JÁ AFIRMOU QUE NÃO DEIXARÁ O PAÍS NAS MÃOS DE 'GANGUES ARMADAS'.</t>
        </is>
      </c>
      <c r="J1082">
        <f>HYPERLINK("https://g1.globo.com/mundo/noticia/2020/02/25/fogo-tiros-e-ruas-fechadas-as-imagens-do-dia-de-guerra-dos-policiais-em-protesto-no-haiti.ghtml", "URL")</f>
        <v/>
      </c>
      <c r="K1082">
        <f>HYPERLINK("https://raw.githubusercontent.com/marcosmapl/dataset_imigrantes/main/noticias_filtered/g1/haitianos/2020/01_fev/html/g1_84bb0534-231f-11ed-b24f-6dbe51e79fca_3628.html", "HTML")</f>
        <v/>
      </c>
      <c r="L1082">
        <f>HYPERLINK("https://raw.githubusercontent.com/marcosmapl/dataset_imigrantes/main/noticias_filtered/g1/haitianos/2020/01_fev/txt/g1_84bb0534-231f-11ed-b24f-6dbe51e79fca_3628.txt", "TXT")</f>
        <v/>
      </c>
    </row>
    <row r="1083">
      <c r="A1083" s="1" t="n">
        <v>1081</v>
      </c>
      <c r="B1083" t="n">
        <v>2020</v>
      </c>
      <c r="C1083" s="2" t="n">
        <v>43886.80763888889</v>
      </c>
      <c r="D1083" t="inlineStr">
        <is>
          <t>A CRITICA</t>
        </is>
      </c>
      <c r="E1083" t="inlineStr">
        <is>
          <t>VENEZUELANOS</t>
        </is>
      </c>
      <c r="F1083" t="inlineStr"/>
      <c r="G1083" t="inlineStr">
        <is>
          <t>AGÊNCIA BRASIL</t>
        </is>
      </c>
      <c r="H1083" t="inlineStr">
        <is>
          <t>DELEGAÇÃO BRASILEIRA DEIXA SESSÃO DA ONU EM PROTESTO CONTRA MADURO</t>
        </is>
      </c>
      <c r="I1083" t="inlineStr">
        <is>
          <t>MAIS CEDO, AO DISCURSAR LOGO APÓS A ABERTURA DA SESSÃO, DAMARES JÁ TINHA CLASSIFICADO O ATUAL REGIME VENEZUELANO COMO “ILEGÍTIMO E AUTORITÁRIO”</t>
        </is>
      </c>
      <c r="J1083">
        <f>HYPERLINK("https://www.acritica.com/delegac-o-brasileira-deixa-sess-o-da-onu-em-protesto-contra-maduro-1.47732", "URL")</f>
        <v/>
      </c>
      <c r="K1083">
        <f>HYPERLINK("https://raw.githubusercontent.com/marcosmapl/dataset_imigrantes/main/noticias_filtered/a_critica/venezuelanos/2020/01_fev/html/1.47732_955.html", "HTML")</f>
        <v/>
      </c>
      <c r="L1083">
        <f>HYPERLINK("https://raw.githubusercontent.com/marcosmapl/dataset_imigrantes/main/noticias_filtered/a_critica/venezuelanos/2020/01_fev/txt/1.47732_955.txt", "TXT")</f>
        <v/>
      </c>
    </row>
    <row r="1084">
      <c r="A1084" s="1" t="n">
        <v>1082</v>
      </c>
      <c r="B1084" t="n">
        <v>2020</v>
      </c>
      <c r="C1084" s="2" t="n">
        <v>43886.7563208912</v>
      </c>
      <c r="D1084" t="inlineStr">
        <is>
          <t>G1</t>
        </is>
      </c>
      <c r="E1084" t="inlineStr">
        <is>
          <t>HAITIANOS</t>
        </is>
      </c>
      <c r="F1084" t="inlineStr">
        <is>
          <t>CEARÁ</t>
        </is>
      </c>
      <c r="G1084" t="inlineStr">
        <is>
          <t>G1 CE</t>
        </is>
      </c>
      <c r="H1084" t="inlineStr">
        <is>
          <t>HAITIANO É PRESO NO AEROPORTO DE FORTALEZA TENTANDO EMBARCAR PARA PARIS COM PASSAPORTE FALSO</t>
        </is>
      </c>
      <c r="I1084" t="inlineStr">
        <is>
          <t>HOMEM FOI PRESO EM FLAGRANTE PELOS CRIMES DE FALSIFICAÇÃO DE DOCUMENTO PÚBLICO, FALSA IDENTIDADE E USO DE DOCUMENTO FALSO, CUJAS PENAS PODEM CHEGAR A SEIS ANOS DE PRISÃO.</t>
        </is>
      </c>
      <c r="J1084">
        <f>HYPERLINK("https://g1.globo.com/ce/ceara/noticia/2020/02/25/haitiano-e-preso-no-aeroporto-de-fortaleza-tentando-embarcar-para-paris-com-passaporte-falso.ghtml", "URL")</f>
        <v/>
      </c>
      <c r="K1084">
        <f>HYPERLINK("https://raw.githubusercontent.com/marcosmapl/dataset_imigrantes/main/noticias_filtered/g1/haitianos/2020/01_fev/html/g1_99083fe2-22f3-11ed-b24f-6dbe51e79fca_1848.html", "HTML")</f>
        <v/>
      </c>
      <c r="L1084">
        <f>HYPERLINK("https://raw.githubusercontent.com/marcosmapl/dataset_imigrantes/main/noticias_filtered/g1/haitianos/2020/01_fev/txt/g1_99083fe2-22f3-11ed-b24f-6dbe51e79fca_1848.txt", "TXT")</f>
        <v/>
      </c>
    </row>
    <row r="1085">
      <c r="A1085" s="1" t="n">
        <v>1083</v>
      </c>
      <c r="B1085" t="n">
        <v>2020</v>
      </c>
      <c r="C1085" s="2" t="n">
        <v>43882.98150776621</v>
      </c>
      <c r="D1085" t="inlineStr">
        <is>
          <t>G1</t>
        </is>
      </c>
      <c r="E1085" t="inlineStr">
        <is>
          <t>VENEZUELANOS</t>
        </is>
      </c>
      <c r="F1085" t="inlineStr">
        <is>
          <t>PARAÍBA</t>
        </is>
      </c>
      <c r="G1085" t="inlineStr">
        <is>
          <t>G1 PB</t>
        </is>
      </c>
      <c r="H1085" t="inlineStr">
        <is>
          <t>VENEZUELANOS SERÃO INSCRITOS EM PROGRAMAS SOCIAIS NA PARAÍBA, DIZ MPF</t>
        </is>
      </c>
      <c r="I1085" t="inlineStr">
        <is>
          <t>ALIMENTAÇÃO, SAÚDE, TRABALHO, EDUCAÇÃO E MORADIA FORAM DISCUTIDOS COM LIDERANÇAS DA ETNIA, NESTA SEXTA (21), EM JOÃO PESSOA.</t>
        </is>
      </c>
      <c r="J1085">
        <f>HYPERLINK("https://g1.globo.com/pb/paraiba/noticia/2020/02/21/venezuelanos-serao-inscritos-em-programas-sociais-na-paraiba-diz-mpf.ghtml", "URL")</f>
        <v/>
      </c>
      <c r="K1085">
        <f>HYPERLINK("https://raw.githubusercontent.com/marcosmapl/dataset_imigrantes/main/noticias_filtered/g1/venezuelanos/2020/01_fev/html/g1_453fa610-231c-11ed-b24f-6dbe51e79fca_3436.html", "HTML")</f>
        <v/>
      </c>
      <c r="L1085">
        <f>HYPERLINK("https://raw.githubusercontent.com/marcosmapl/dataset_imigrantes/main/noticias_filtered/g1/venezuelanos/2020/01_fev/txt/g1_453fa610-231c-11ed-b24f-6dbe51e79fca_3436.txt", "TXT")</f>
        <v/>
      </c>
    </row>
    <row r="1086">
      <c r="A1086" s="1" t="n">
        <v>1084</v>
      </c>
      <c r="B1086" t="n">
        <v>2020</v>
      </c>
      <c r="C1086" s="2" t="n">
        <v>43881.61326612269</v>
      </c>
      <c r="D1086" t="inlineStr">
        <is>
          <t>G1</t>
        </is>
      </c>
      <c r="E1086" t="inlineStr">
        <is>
          <t>VENEZUELANOS</t>
        </is>
      </c>
      <c r="F1086" t="inlineStr">
        <is>
          <t>MUNDO</t>
        </is>
      </c>
      <c r="G1086" t="inlineStr">
        <is>
          <t>FRANCE PRESSE</t>
        </is>
      </c>
      <c r="H1086" t="inlineStr">
        <is>
          <t>OPOSIÇÃO VENEZUELANA DENUNCIA OPERAÇÃO DE BUSCA 'ILEGAL' NA CASA DO TIO DE GUAIDÓ</t>
        </is>
      </c>
      <c r="I1086" t="inlineStr">
        <is>
          <t>AGENTES NÃO TERIAM PERMITIDO A ENTRADA DOS ADVOGADOS PARA ACOMPANHAR A REVISTA; MÁRQUEZ FOI DETIDO EM 11 DE FEVEREIRO APÓS VOLTAR DOS EUA.</t>
        </is>
      </c>
      <c r="J1086">
        <f>HYPERLINK("https://g1.globo.com/mundo/noticia/2020/02/20/oposicao-venezuelana-denuncia-operacao-de-busca-ilegal-na-casa-do-tio-de-guaido.ghtml", "URL")</f>
        <v/>
      </c>
      <c r="K1086">
        <f>HYPERLINK("https://raw.githubusercontent.com/marcosmapl/dataset_imigrantes/main/noticias_filtered/g1/venezuelanos/2020/01_fev/html/g1_fed7af36-231d-11ed-b24f-6dbe51e79fca_3532.html", "HTML")</f>
        <v/>
      </c>
      <c r="L1086">
        <f>HYPERLINK("https://raw.githubusercontent.com/marcosmapl/dataset_imigrantes/main/noticias_filtered/g1/venezuelanos/2020/01_fev/txt/g1_fed7af36-231d-11ed-b24f-6dbe51e79fca_3532.txt", "TXT")</f>
        <v/>
      </c>
    </row>
    <row r="1087">
      <c r="A1087" s="1" t="n">
        <v>1085</v>
      </c>
      <c r="B1087" t="n">
        <v>2020</v>
      </c>
      <c r="C1087" s="2" t="n">
        <v>43879.6555255787</v>
      </c>
      <c r="D1087" t="inlineStr">
        <is>
          <t>G1</t>
        </is>
      </c>
      <c r="E1087" t="inlineStr">
        <is>
          <t>VENEZUELANOS</t>
        </is>
      </c>
      <c r="F1087" t="inlineStr">
        <is>
          <t>ACRE</t>
        </is>
      </c>
      <c r="G1087" t="inlineStr">
        <is>
          <t>LUIZIO OLIVEIRA, JORNAL DO ACRE 2ª EDIÇÃO — RIO BRANCO</t>
        </is>
      </c>
      <c r="H1087" t="inlineStr">
        <is>
          <t>VENEZUELANOS INDÍGENAS SÃO DESPEJADOS DE CASA ALUGADA E OCUPAM PRÉDIO ABANDONADO NO AC</t>
        </is>
      </c>
      <c r="I1087" t="inlineStr">
        <is>
          <t>SEM ABRIGO, REFUGIADOS VIVEM EM CONDIÇÕES SUB-HUMANAS EM UM PRÉDIO ABANDONADO PRÓXIMO DO CENTRO DA CAPITAL ACREANA.</t>
        </is>
      </c>
      <c r="J1087">
        <f>HYPERLINK("https://g1.globo.com/ac/acre/noticia/2020/02/18/venezuelanos-indigenas-sao-despejados-de-casa-alugada-e-ocupam-predio-abandonado-no-ac.ghtml", "URL")</f>
        <v/>
      </c>
      <c r="K1087">
        <f>HYPERLINK("https://raw.githubusercontent.com/marcosmapl/dataset_imigrantes/main/noticias_filtered/g1/venezuelanos/2020/01_fev/html/g1_c707f6dc-230f-11ed-b24f-6dbe51e79fca_2818.html", "HTML")</f>
        <v/>
      </c>
      <c r="L1087">
        <f>HYPERLINK("https://raw.githubusercontent.com/marcosmapl/dataset_imigrantes/main/noticias_filtered/g1/venezuelanos/2020/01_fev/txt/g1_c707f6dc-230f-11ed-b24f-6dbe51e79fca_2818.txt", "TXT")</f>
        <v/>
      </c>
    </row>
    <row r="1088">
      <c r="A1088" s="1" t="n">
        <v>1086</v>
      </c>
      <c r="B1088" t="n">
        <v>2020</v>
      </c>
      <c r="C1088" s="2" t="n">
        <v>43875.8392391551</v>
      </c>
      <c r="D1088" t="inlineStr">
        <is>
          <t>G1</t>
        </is>
      </c>
      <c r="E1088" t="inlineStr">
        <is>
          <t>VENEZUELANOS</t>
        </is>
      </c>
      <c r="F1088" t="inlineStr">
        <is>
          <t>SANTA CATARINA</t>
        </is>
      </c>
      <c r="G1088" t="inlineStr">
        <is>
          <t>NSC TV</t>
        </is>
      </c>
      <c r="H1088" t="inlineStr">
        <is>
          <t>VENEZUELANOS CHEGAM A SC PARA TRABALHAREM EM INDÚSTRIA DO OESTE</t>
        </is>
      </c>
      <c r="I1088" t="inlineStr">
        <is>
          <t>NO TOTAL, 88 DESEMBARCARAM EM CHAPECÓ. ELES VÃO MORAR EM SEARA E XANXERÊ.</t>
        </is>
      </c>
      <c r="J1088">
        <f>HYPERLINK("https://g1.globo.com/sc/santa-catarina/noticia/2020/02/14/venezuelanos-chegam-a-sc-para-trabalharem-em-industria-do-oeste.ghtml", "URL")</f>
        <v/>
      </c>
      <c r="K1088">
        <f>HYPERLINK("https://raw.githubusercontent.com/marcosmapl/dataset_imigrantes/main/noticias_filtered/g1/venezuelanos/2020/01_fev/html/g1_3cccdd52-230f-11ed-b24f-6dbe51e79fca_2784.html", "HTML")</f>
        <v/>
      </c>
      <c r="L1088">
        <f>HYPERLINK("https://raw.githubusercontent.com/marcosmapl/dataset_imigrantes/main/noticias_filtered/g1/venezuelanos/2020/01_fev/txt/g1_3cccdd52-230f-11ed-b24f-6dbe51e79fca_2784.txt", "TXT")</f>
        <v/>
      </c>
    </row>
    <row r="1089">
      <c r="A1089" s="1" t="n">
        <v>1087</v>
      </c>
      <c r="B1089" t="n">
        <v>2020</v>
      </c>
      <c r="C1089" s="2" t="n">
        <v>43875.68925659722</v>
      </c>
      <c r="D1089" t="inlineStr">
        <is>
          <t>G1</t>
        </is>
      </c>
      <c r="E1089" t="inlineStr">
        <is>
          <t>VENEZUELANOS</t>
        </is>
      </c>
      <c r="F1089" t="inlineStr">
        <is>
          <t>PARAÍBA</t>
        </is>
      </c>
      <c r="G1089" t="inlineStr">
        <is>
          <t>G1 PB</t>
        </is>
      </c>
      <c r="H1089" t="inlineStr">
        <is>
          <t>CRIANÇAS VENEZUELANAS SUBNUTRIDAS SAEM DA UTI, EM JOÃO PESSOA</t>
        </is>
      </c>
      <c r="I1089" t="inlineStr">
        <is>
          <t>IRMÃOS, UMA MENINA DE 6 ANOS E UM MENINO DE 1 ANO E 4 MESES, ESTAVAM INTERNADOS DEVIDO A SUBNUTRIÇÃO.</t>
        </is>
      </c>
      <c r="J1089">
        <f>HYPERLINK("https://g1.globo.com/pb/paraiba/noticia/2020/02/14/criancas-venezuelanas-subnutridas-saem-da-uti-em-joao-pessoa.ghtml", "URL")</f>
        <v/>
      </c>
      <c r="K1089">
        <f>HYPERLINK("https://raw.githubusercontent.com/marcosmapl/dataset_imigrantes/main/noticias_filtered/g1/venezuelanos/2020/01_fev/html/g1_a732c7c2-232a-11ed-b24f-6dbe51e79fca_4193.html", "HTML")</f>
        <v/>
      </c>
      <c r="L1089">
        <f>HYPERLINK("https://raw.githubusercontent.com/marcosmapl/dataset_imigrantes/main/noticias_filtered/g1/venezuelanos/2020/01_fev/txt/g1_a732c7c2-232a-11ed-b24f-6dbe51e79fca_4193.txt", "TXT")</f>
        <v/>
      </c>
    </row>
    <row r="1090">
      <c r="A1090" s="1" t="n">
        <v>1088</v>
      </c>
      <c r="B1090" t="n">
        <v>2020</v>
      </c>
      <c r="C1090" s="2" t="n">
        <v>43875.6559241088</v>
      </c>
      <c r="D1090" t="inlineStr">
        <is>
          <t>G1</t>
        </is>
      </c>
      <c r="E1090" t="inlineStr">
        <is>
          <t>VENEZUELANOS</t>
        </is>
      </c>
      <c r="F1090" t="inlineStr">
        <is>
          <t>PARAÍBA</t>
        </is>
      </c>
      <c r="G1090" t="inlineStr">
        <is>
          <t>G1 PB</t>
        </is>
      </c>
      <c r="H1090" t="inlineStr">
        <is>
          <t>VENEZUELANOS RECEBEM VISITA DE COMISSÃO FORMADA PELO MPF EM JOÃO PESSOA</t>
        </is>
      </c>
      <c r="I1090" t="inlineStr">
        <is>
          <t>ENTIDADES DEVEM ESCOLHER NOVAS MORADIAS PARA REFUGIADOS QUE ESTAVAM VIVENDO EM SITUAÇÃO DE VULNERABILIDADE.</t>
        </is>
      </c>
      <c r="J1090">
        <f>HYPERLINK("https://g1.globo.com/pb/paraiba/noticia/2020/02/14/venezuelanos-recebem-visita-de-comissao-formada-pelo-mpf-em-joao-pessoa.ghtml", "URL")</f>
        <v/>
      </c>
      <c r="K1090">
        <f>HYPERLINK("https://raw.githubusercontent.com/marcosmapl/dataset_imigrantes/main/noticias_filtered/g1/venezuelanos/2020/01_fev/html/g1_a519d68c-231c-11ed-b24f-6dbe51e79fca_3457.html", "HTML")</f>
        <v/>
      </c>
      <c r="L1090">
        <f>HYPERLINK("https://raw.githubusercontent.com/marcosmapl/dataset_imigrantes/main/noticias_filtered/g1/venezuelanos/2020/01_fev/txt/g1_a519d68c-231c-11ed-b24f-6dbe51e79fca_3457.txt", "TXT")</f>
        <v/>
      </c>
    </row>
    <row r="1091">
      <c r="A1091" s="1" t="n">
        <v>1089</v>
      </c>
      <c r="B1091" t="n">
        <v>2020</v>
      </c>
      <c r="C1091" s="2" t="n">
        <v>43874.99105541666</v>
      </c>
      <c r="D1091" t="inlineStr">
        <is>
          <t>G1</t>
        </is>
      </c>
      <c r="E1091" t="inlineStr">
        <is>
          <t>VENEZUELANOS</t>
        </is>
      </c>
      <c r="F1091" t="inlineStr">
        <is>
          <t>PARAÍBA</t>
        </is>
      </c>
      <c r="G1091" t="inlineStr">
        <is>
          <t>G1 PB</t>
        </is>
      </c>
      <c r="H1091" t="inlineStr">
        <is>
          <t>VENEZUELANOS NA PB VÃO SER ASSISTIDOS COM ALIMENTAÇÃO, ABRIGO E SERVIÇOS MÉDICOS</t>
        </is>
      </c>
      <c r="I1091" t="inlineStr">
        <is>
          <t>MEDIDAS DEVEM SER ACATADAS IMEDIATAMENTE PELO MPF, SECRETARIAS DE SAÚDE E DESENVOLVIMENTO SOCIAL E FUNDAÇÃO NACIONAL DO ÍNDIO (FUNAI).</t>
        </is>
      </c>
      <c r="J1091">
        <f>HYPERLINK("https://g1.globo.com/pb/paraiba/noticia/2020/02/13/venezuelanos-na-pb-serao-assistidos-com-alimentacao-abrigo-e-servicos-medicos.ghtml", "URL")</f>
        <v/>
      </c>
      <c r="K1091">
        <f>HYPERLINK("https://raw.githubusercontent.com/marcosmapl/dataset_imigrantes/main/noticias_filtered/g1/venezuelanos/2020/01_fev/html/g1_644016ea-2325-11ed-b24f-6dbe51e79fca_3910.html", "HTML")</f>
        <v/>
      </c>
      <c r="L1091">
        <f>HYPERLINK("https://raw.githubusercontent.com/marcosmapl/dataset_imigrantes/main/noticias_filtered/g1/venezuelanos/2020/01_fev/txt/g1_644016ea-2325-11ed-b24f-6dbe51e79fca_3910.txt", "TXT")</f>
        <v/>
      </c>
    </row>
    <row r="1092">
      <c r="A1092" s="1" t="n">
        <v>1090</v>
      </c>
      <c r="B1092" t="n">
        <v>2020</v>
      </c>
      <c r="C1092" s="2" t="n">
        <v>43874.83900166667</v>
      </c>
      <c r="D1092" t="inlineStr">
        <is>
          <t>G1</t>
        </is>
      </c>
      <c r="E1092" t="inlineStr">
        <is>
          <t>VENEZUELANOS</t>
        </is>
      </c>
      <c r="F1092" t="inlineStr">
        <is>
          <t>RORAIMA</t>
        </is>
      </c>
      <c r="G1092" t="inlineStr">
        <is>
          <t>MARCELO MARQUES E VALÉRIA OLIVEIRA, G1 RR — BOA VISTA</t>
        </is>
      </c>
      <c r="H1092" t="inlineStr">
        <is>
          <t>'NINGUÉM PERDEU PODER', DIZ MOURÃO SOBRE MUDANÇA NO CONSELHO DA AMAZÔNIA</t>
        </is>
      </c>
      <c r="I1092" t="inlineStr">
        <is>
          <t>HAMILTON MOURÃO ESTÁ EM BOA VISTA, ONDE CUMPRE AGENDA ACERCA DA IMIGRAÇÃO VENEZUELANA.</t>
        </is>
      </c>
      <c r="J1092">
        <f>HYPERLINK("https://g1.globo.com/rr/roraima/noticia/2020/02/13/ninguem-perdeu-poder-diz-mourao-sobre-mudanca-no-conselho-da-amazonia.ghtml", "URL")</f>
        <v/>
      </c>
      <c r="K1092">
        <f>HYPERLINK("https://raw.githubusercontent.com/marcosmapl/dataset_imigrantes/main/noticias_filtered/g1/venezuelanos/2020/01_fev/html/g1_37ac88a2-2307-11ed-b24f-6dbe51e79fca_2304.html", "HTML")</f>
        <v/>
      </c>
      <c r="L1092">
        <f>HYPERLINK("https://raw.githubusercontent.com/marcosmapl/dataset_imigrantes/main/noticias_filtered/g1/venezuelanos/2020/01_fev/txt/g1_37ac88a2-2307-11ed-b24f-6dbe51e79fca_2304.txt", "TXT")</f>
        <v/>
      </c>
    </row>
    <row r="1093">
      <c r="A1093" s="1" t="n">
        <v>1091</v>
      </c>
      <c r="B1093" t="n">
        <v>2020</v>
      </c>
      <c r="C1093" s="2" t="n">
        <v>43874.63402905093</v>
      </c>
      <c r="D1093" t="inlineStr">
        <is>
          <t>G1</t>
        </is>
      </c>
      <c r="E1093" t="inlineStr">
        <is>
          <t>VENEZUELANOS</t>
        </is>
      </c>
      <c r="F1093" t="inlineStr">
        <is>
          <t>RIO DE JANEIRO</t>
        </is>
      </c>
      <c r="G1093" t="inlineStr">
        <is>
          <t>HENRIQUE COELHO, G1 RIO</t>
        </is>
      </c>
      <c r="H1093" t="inlineStr">
        <is>
          <t>POLÍCIA PRENDE CASAL VENEZUELANO SUSPEITO DE TRAZER DEFICIENTES AUDITIVOS PARA PEDIR ESMOLA NAS RUAS DO RIO</t>
        </is>
      </c>
      <c r="I1093" t="inlineStr">
        <is>
          <t>CASAL FOI PRESO POR TRÁFICO INTERNACIONAL DE PESSOAS. ELES TRAZIAM DEFICIENTES DA VENEZUELA E VÍTIMAS ERAM OBRIGADAS A PAGAR SUAS DESPESAS DE VIAGEM. LUCRO ERA DE R$ 500 POR DIA DURANTE A SEMANA.</t>
        </is>
      </c>
      <c r="J1093">
        <f>HYPERLINK("https://g1.globo.com/rj/rio-de-janeiro/noticia/2020/02/13/policia-prende-casal-suspeito-de-trazer-surdos-mudos-da-venezuela-para-pedir-esmola-nas-ruas-do-rio.ghtml", "URL")</f>
        <v/>
      </c>
      <c r="K1093">
        <f>HYPERLINK("https://raw.githubusercontent.com/marcosmapl/dataset_imigrantes/main/noticias_filtered/g1/venezuelanos/2020/01_fev/html/g1_53476c9e-230c-11ed-b24f-6dbe51e79fca_2618.html", "HTML")</f>
        <v/>
      </c>
      <c r="L1093">
        <f>HYPERLINK("https://raw.githubusercontent.com/marcosmapl/dataset_imigrantes/main/noticias_filtered/g1/venezuelanos/2020/01_fev/txt/g1_53476c9e-230c-11ed-b24f-6dbe51e79fca_2618.txt", "TXT")</f>
        <v/>
      </c>
    </row>
    <row r="1094">
      <c r="A1094" s="1" t="n">
        <v>1092</v>
      </c>
      <c r="B1094" t="n">
        <v>2020</v>
      </c>
      <c r="C1094" s="2" t="n">
        <v>43874.58141667824</v>
      </c>
      <c r="D1094" t="inlineStr">
        <is>
          <t>G1</t>
        </is>
      </c>
      <c r="E1094" t="inlineStr">
        <is>
          <t>VENEZUELANOS</t>
        </is>
      </c>
      <c r="F1094" t="inlineStr">
        <is>
          <t>RORAIMA</t>
        </is>
      </c>
      <c r="G1094" t="inlineStr">
        <is>
          <t>G1 RR — BOA VISTA</t>
        </is>
      </c>
      <c r="H1094" t="inlineStr">
        <is>
          <t>MINISTRO SÉRGIO MORO CHEGA A RORAIMA PARA VISITAR INSTALAÇÕES DE ACOLHIDA A VENEZUELANOS</t>
        </is>
      </c>
      <c r="I1094" t="inlineStr">
        <is>
          <t>VICE-PRESIDENTE HAMILTON MOURÃO TAMBÉM ESTÁ EM VISITA OFICIAL AO ESTADO. OS DOIS DEVEM IR A PACARAIMA, NA FRONTEIRA COM A VENEZUELA.</t>
        </is>
      </c>
      <c r="J1094">
        <f>HYPERLINK("https://g1.globo.com/rr/roraima/noticia/2020/02/13/ministro-sergio-moro-chega-a-roraima-para-visitar-instalacoes-de-acolhida-a-venezuelanos.ghtml", "URL")</f>
        <v/>
      </c>
      <c r="K1094">
        <f>HYPERLINK("https://raw.githubusercontent.com/marcosmapl/dataset_imigrantes/main/noticias_filtered/g1/venezuelanos/2020/01_fev/html/g1_adff8f20-232c-11ed-b24f-6dbe51e79fca_4322.html", "HTML")</f>
        <v/>
      </c>
      <c r="L1094">
        <f>HYPERLINK("https://raw.githubusercontent.com/marcosmapl/dataset_imigrantes/main/noticias_filtered/g1/venezuelanos/2020/01_fev/txt/g1_adff8f20-232c-11ed-b24f-6dbe51e79fca_4322.txt", "TXT")</f>
        <v/>
      </c>
    </row>
    <row r="1095">
      <c r="A1095" s="1" t="n">
        <v>1093</v>
      </c>
      <c r="B1095" t="n">
        <v>2020</v>
      </c>
      <c r="C1095" s="2" t="n">
        <v>43874.40661072917</v>
      </c>
      <c r="D1095" t="inlineStr">
        <is>
          <t>G1</t>
        </is>
      </c>
      <c r="E1095" t="inlineStr">
        <is>
          <t>VENEZUELANOS</t>
        </is>
      </c>
      <c r="F1095" t="inlineStr">
        <is>
          <t>PARAÍBA</t>
        </is>
      </c>
      <c r="G1095" t="inlineStr">
        <is>
          <t>G1 PB</t>
        </is>
      </c>
      <c r="H1095" t="inlineStr">
        <is>
          <t>CRIANÇAS VENEZUELANAS EM ESTADO DE SUBNUTRIÇÃO SÃO INTERNADAS EM UTI DE HOSPITAL, EM JOÃO PESSOA</t>
        </is>
      </c>
      <c r="I1095" t="inlineStr">
        <is>
          <t>CRIANÇAS SÃO IRMÃOS, DE 1 E 6 ANOS, E ESTÃO INTERNADAS NA UTI DO HOSPITAL MUNICIPAL DO VALENTINA</t>
        </is>
      </c>
      <c r="J1095">
        <f>HYPERLINK("https://g1.globo.com/pb/paraiba/noticia/2020/02/13/criancas-venezuelanas-em-estado-de-subnutricao-sao-internadas-em-uti-de-hospital-em-joao-pessoa.ghtml", "URL")</f>
        <v/>
      </c>
      <c r="K1095">
        <f>HYPERLINK("https://raw.githubusercontent.com/marcosmapl/dataset_imigrantes/main/noticias_filtered/g1/venezuelanos/2020/01_fev/html/g1_0b03daf0-230f-11ed-b24f-6dbe51e79fca_2775.html", "HTML")</f>
        <v/>
      </c>
      <c r="L1095">
        <f>HYPERLINK("https://raw.githubusercontent.com/marcosmapl/dataset_imigrantes/main/noticias_filtered/g1/venezuelanos/2020/01_fev/txt/g1_0b03daf0-230f-11ed-b24f-6dbe51e79fca_2775.txt", "TXT")</f>
        <v/>
      </c>
    </row>
    <row r="1096">
      <c r="A1096" s="1" t="n">
        <v>1094</v>
      </c>
      <c r="B1096" t="n">
        <v>2020</v>
      </c>
      <c r="C1096" s="2" t="n">
        <v>43873.68075171296</v>
      </c>
      <c r="D1096" t="inlineStr">
        <is>
          <t>G1</t>
        </is>
      </c>
      <c r="E1096" t="inlineStr">
        <is>
          <t>VENEZUELANOS</t>
        </is>
      </c>
      <c r="F1096" t="inlineStr">
        <is>
          <t>RORAIMA</t>
        </is>
      </c>
      <c r="G1096" t="inlineStr">
        <is>
          <t>G1 RR — BOA VISTA</t>
        </is>
      </c>
      <c r="H1096" t="inlineStr">
        <is>
          <t>VICE-PRESIDENTE HAMILTON MOURÃO CHEGA A RORAIMA E DEVE VISITAR ABRIGOS DE VENEZUELANOS</t>
        </is>
      </c>
      <c r="I1096" t="inlineStr">
        <is>
          <t>HAMILTON MOURÃO CHEGOU AO ESTADO EM AVIÃO DA FORÇA AÉREA BRASILEIRA ACOMPANHANDO DO GOVERNADOR ANTONIO DENARIUM (PSL).</t>
        </is>
      </c>
      <c r="J1096">
        <f>HYPERLINK("https://g1.globo.com/rr/roraima/noticia/2020/02/12/vice-presidente-hamilton-mourao-chega-a-roraima-e-deve-visitar-abrigos-de-venezuelanos.ghtml", "URL")</f>
        <v/>
      </c>
      <c r="K1096">
        <f>HYPERLINK("https://raw.githubusercontent.com/marcosmapl/dataset_imigrantes/main/noticias_filtered/g1/venezuelanos/2020/01_fev/html/g1_2aecc294-230c-11ed-b24f-6dbe51e79fca_2608.html", "HTML")</f>
        <v/>
      </c>
      <c r="L1096">
        <f>HYPERLINK("https://raw.githubusercontent.com/marcosmapl/dataset_imigrantes/main/noticias_filtered/g1/venezuelanos/2020/01_fev/txt/g1_2aecc294-230c-11ed-b24f-6dbe51e79fca_2608.txt", "TXT")</f>
        <v/>
      </c>
    </row>
    <row r="1097">
      <c r="A1097" s="1" t="n">
        <v>1095</v>
      </c>
      <c r="B1097" t="n">
        <v>2020</v>
      </c>
      <c r="C1097" s="2" t="n">
        <v>43873.61796520833</v>
      </c>
      <c r="D1097" t="inlineStr">
        <is>
          <t>G1</t>
        </is>
      </c>
      <c r="E1097" t="inlineStr">
        <is>
          <t>VENEZUELANOS</t>
        </is>
      </c>
      <c r="F1097" t="inlineStr">
        <is>
          <t>PARAÍBA</t>
        </is>
      </c>
      <c r="G1097" t="inlineStr">
        <is>
          <t>G1 PB</t>
        </is>
      </c>
      <c r="H1097" t="inlineStr">
        <is>
          <t>CAMPANHA ARRECADA ALIMENTOS PARA VENEZUELANOS EM SITUAÇÃO DE SUBNUTRIÇÃO, EM JOÃO PESSOA</t>
        </is>
      </c>
      <c r="I1097" t="inlineStr">
        <is>
          <t>SITUAÇÃO FOI DESCOBERTA APÓS UMA DENÚNCIA ANÔNIMA FEITA AO CORPO DE BOMBEIROS. CAMPANHA É REALIZADA PELA REDE PARAÍBA DE COMUNICAÇÃO.</t>
        </is>
      </c>
      <c r="J1097">
        <f>HYPERLINK("https://g1.globo.com/pb/paraiba/noticia/2020/02/12/campanha-arrecada-alimentos-para-venezuelanos-em-situacao-de-subnutricao-em-joao-pessoa.ghtml", "URL")</f>
        <v/>
      </c>
      <c r="K1097">
        <f>HYPERLINK("https://raw.githubusercontent.com/marcosmapl/dataset_imigrantes/main/noticias_filtered/g1/venezuelanos/2020/01_fev/html/g1_13db2650-2310-11ed-b24f-6dbe51e79fca_2838.html", "HTML")</f>
        <v/>
      </c>
      <c r="L1097">
        <f>HYPERLINK("https://raw.githubusercontent.com/marcosmapl/dataset_imigrantes/main/noticias_filtered/g1/venezuelanos/2020/01_fev/txt/g1_13db2650-2310-11ed-b24f-6dbe51e79fca_2838.txt", "TXT")</f>
        <v/>
      </c>
    </row>
    <row r="1098">
      <c r="A1098" s="1" t="n">
        <v>1096</v>
      </c>
      <c r="B1098" t="n">
        <v>2020</v>
      </c>
      <c r="C1098" s="2" t="n">
        <v>43873.5840353125</v>
      </c>
      <c r="D1098" t="inlineStr">
        <is>
          <t>G1</t>
        </is>
      </c>
      <c r="E1098" t="inlineStr">
        <is>
          <t>VENEZUELANOS</t>
        </is>
      </c>
      <c r="F1098" t="inlineStr">
        <is>
          <t>PARAÍBA</t>
        </is>
      </c>
      <c r="G1098" t="inlineStr">
        <is>
          <t>G1 PB</t>
        </is>
      </c>
      <c r="H1098" t="inlineStr">
        <is>
          <t>PREFEITURA INTERVÉM COM APOIO MÉDICO E SOCIAL A VENEZUELANOS COM SUBNUTRIÇÃO, EM JOÃO PESSOA</t>
        </is>
      </c>
      <c r="I1098" t="inlineStr">
        <is>
          <t>REFUGIADOS FORAM ENCONTRADOS VIVENDO EM CONDIÇÕES PRECÁRIAS. CRIANÇAS ESTÃO SENDO ATENDIDAS PELO SAMU E SECRETARIA DE SAÚDE.</t>
        </is>
      </c>
      <c r="J1098">
        <f>HYPERLINK("https://g1.globo.com/pb/paraiba/noticia/2020/02/12/prefeitura-intervem-com-apoio-medico-e-social-a-venezuelanos-com-subnutricao-em-joao-pessoa.ghtml", "URL")</f>
        <v/>
      </c>
      <c r="K1098">
        <f>HYPERLINK("https://raw.githubusercontent.com/marcosmapl/dataset_imigrantes/main/noticias_filtered/g1/venezuelanos/2020/01_fev/html/g1_7a4babc0-230c-11ed-b24f-6dbe51e79fca_2627.html", "HTML")</f>
        <v/>
      </c>
      <c r="L1098">
        <f>HYPERLINK("https://raw.githubusercontent.com/marcosmapl/dataset_imigrantes/main/noticias_filtered/g1/venezuelanos/2020/01_fev/txt/g1_7a4babc0-230c-11ed-b24f-6dbe51e79fca_2627.txt", "TXT")</f>
        <v/>
      </c>
    </row>
    <row r="1099">
      <c r="A1099" s="1" t="n">
        <v>1097</v>
      </c>
      <c r="B1099" t="n">
        <v>2020</v>
      </c>
      <c r="C1099" s="2" t="n">
        <v>43872.89622094907</v>
      </c>
      <c r="D1099" t="inlineStr">
        <is>
          <t>G1</t>
        </is>
      </c>
      <c r="E1099" t="inlineStr">
        <is>
          <t>VENEZUELANOS</t>
        </is>
      </c>
      <c r="F1099" t="inlineStr">
        <is>
          <t>PARAÍBA</t>
        </is>
      </c>
      <c r="G1099" t="inlineStr">
        <is>
          <t>G1 PB</t>
        </is>
      </c>
      <c r="H1099" t="inlineStr">
        <is>
          <t>VENEZUELANOS SÃO ENCONTRADOS EM ESTADO DE SUBNUTRIÇÃO NO BAIRRO DO ROGER, EM JOÃO PESSOA</t>
        </is>
      </c>
      <c r="I1099" t="inlineStr">
        <is>
          <t>ADULTOS E CRIANÇAS FORAM ENCONTRADOS DESIDRATADOS E EM ESTADO DE SUBNUTRIÇÃO. SEGUNDO OS BOMBEIROS, VENEZUELANOS ESTAVAM PASSANDO MAL.</t>
        </is>
      </c>
      <c r="J1099">
        <f>HYPERLINK("https://g1.globo.com/pb/paraiba/noticia/2020/02/11/venezuelanos-sao-encontrados-em-estado-de-subnutricao-no-bairro-do-roger-em-joao-pessoa.ghtml", "URL")</f>
        <v/>
      </c>
      <c r="K1099">
        <f>HYPERLINK("https://raw.githubusercontent.com/marcosmapl/dataset_imigrantes/main/noticias_filtered/g1/venezuelanos/2020/01_fev/html/g1_caefd7ac-2309-11ed-b24f-6dbe51e79fca_2464.html", "HTML")</f>
        <v/>
      </c>
      <c r="L1099">
        <f>HYPERLINK("https://raw.githubusercontent.com/marcosmapl/dataset_imigrantes/main/noticias_filtered/g1/venezuelanos/2020/01_fev/txt/g1_caefd7ac-2309-11ed-b24f-6dbe51e79fca_2464.txt", "TXT")</f>
        <v/>
      </c>
    </row>
    <row r="1100">
      <c r="A1100" s="1" t="n">
        <v>1098</v>
      </c>
      <c r="B1100" t="n">
        <v>2020</v>
      </c>
      <c r="C1100" s="2" t="n">
        <v>43872.80277777778</v>
      </c>
      <c r="D1100" t="inlineStr">
        <is>
          <t>A CRITICA</t>
        </is>
      </c>
      <c r="E1100" t="inlineStr">
        <is>
          <t>VENEZUELANOS</t>
        </is>
      </c>
      <c r="F1100" t="inlineStr"/>
      <c r="G1100" t="inlineStr">
        <is>
          <t>GIOVANNA MARINHO</t>
        </is>
      </c>
      <c r="H1100" t="inlineStr">
        <is>
          <t>CONFEITEIRA VENEZUELANA ABRE LINHA DE TORTAS E DOCES POR ENCOMENDAS EM MANAUS</t>
        </is>
      </c>
      <c r="I1100" t="inlineStr">
        <is>
          <t>O DOCE SONHO DE NELARYS LANZ, DE 49 ANOS, QUE DEIXOU A SUA TERRA NATAL E SUPEROU A PERDA DE UM FILHO PARA RECOMEÇAR A VIDA NO BRASIL COM O SONHO DE EXERCER SUA PROFISSÃO E PAIXÃO: A CONFEITARIA</t>
        </is>
      </c>
      <c r="J1100">
        <f>HYPERLINK("https://www.acritica.com/confeiteira-venezuelana-abre-linha-de-tortas-e-doces-por-encomendas-em-manaus-1.49041", "URL")</f>
        <v/>
      </c>
      <c r="K1100">
        <f>HYPERLINK("https://raw.githubusercontent.com/marcosmapl/dataset_imigrantes/main/noticias_filtered/a_critica/venezuelanos/2020/01_fev/html/1.49041_1251.html", "HTML")</f>
        <v/>
      </c>
      <c r="L1100">
        <f>HYPERLINK("https://raw.githubusercontent.com/marcosmapl/dataset_imigrantes/main/noticias_filtered/a_critica/venezuelanos/2020/01_fev/txt/1.49041_1251.txt", "TXT")</f>
        <v/>
      </c>
    </row>
    <row r="1101">
      <c r="A1101" s="1" t="n">
        <v>1099</v>
      </c>
      <c r="B1101" t="n">
        <v>2020</v>
      </c>
      <c r="C1101" s="2" t="n">
        <v>43872.53519675926</v>
      </c>
      <c r="D1101" t="inlineStr">
        <is>
          <t>A CRITICA</t>
        </is>
      </c>
      <c r="E1101" t="inlineStr">
        <is>
          <t>VENEZUELANOS</t>
        </is>
      </c>
      <c r="F1101" t="inlineStr">
        <is>
          <t>OPINIAO</t>
        </is>
      </c>
      <c r="G1101" t="inlineStr"/>
      <c r="H1101" t="inlineStr">
        <is>
          <t>GUERRA CONTRA O SARAMPO</t>
        </is>
      </c>
      <c r="I1101" t="inlineStr"/>
      <c r="J1101">
        <f>HYPERLINK("https://www.acritica.com/opiniao/guerra-contra-o-sarampo-1.224616", "URL")</f>
        <v/>
      </c>
      <c r="K1101">
        <f>HYPERLINK("https://raw.githubusercontent.com/marcosmapl/dataset_imigrantes/main/noticias_filtered/a_critica/venezuelanos/2020/01_fev/html/1.224616_426.html", "HTML")</f>
        <v/>
      </c>
      <c r="L1101">
        <f>HYPERLINK("https://raw.githubusercontent.com/marcosmapl/dataset_imigrantes/main/noticias_filtered/a_critica/venezuelanos/2020/01_fev/txt/1.224616_426.txt", "TXT")</f>
        <v/>
      </c>
    </row>
    <row r="1102">
      <c r="A1102" s="1" t="n">
        <v>1100</v>
      </c>
      <c r="B1102" t="n">
        <v>2020</v>
      </c>
      <c r="C1102" s="2" t="n">
        <v>43872.02875150463</v>
      </c>
      <c r="D1102" t="inlineStr">
        <is>
          <t>G1</t>
        </is>
      </c>
      <c r="E1102" t="inlineStr">
        <is>
          <t>VENEZUELANOS</t>
        </is>
      </c>
      <c r="F1102" t="inlineStr">
        <is>
          <t>JORNAL NACIONAL</t>
        </is>
      </c>
      <c r="G1102" t="inlineStr">
        <is>
          <t>JORNAL NACIONAL</t>
        </is>
      </c>
      <c r="H1102" t="inlineStr">
        <is>
          <t>PACARAIMA (RR) TEM PROTESTOS CONTRA A ENTRADA DE VENEZUELANOS</t>
        </is>
      </c>
      <c r="I1102" t="inlineStr">
        <is>
          <t>MANIFESTANTES ALEGAM QUE, DESDE QUE OS VENEZUELANOS COMEÇARAM A CHEGAR, EM 2015, O ATENDIMENTO DO SERVIÇO HOSPITALAR PIOROU E QUE A VIOLÊNCIA AUMENTOU.</t>
        </is>
      </c>
      <c r="J1102">
        <f>HYPERLINK("https://g1.globo.com/jornal-nacional/noticia/2020/02/10/pacaraima-rr-tem-protestos-contra-a-entrada-de-venezuelanos.ghtml", "URL")</f>
        <v/>
      </c>
      <c r="K1102">
        <f>HYPERLINK("https://raw.githubusercontent.com/marcosmapl/dataset_imigrantes/main/noticias_filtered/g1/venezuelanos/2020/01_fev/html/g1_74b6509c-2326-11ed-b24f-6dbe51e79fca_3977.html", "HTML")</f>
        <v/>
      </c>
      <c r="L1102">
        <f>HYPERLINK("https://raw.githubusercontent.com/marcosmapl/dataset_imigrantes/main/noticias_filtered/g1/venezuelanos/2020/01_fev/txt/g1_74b6509c-2326-11ed-b24f-6dbe51e79fca_3977.txt", "TXT")</f>
        <v/>
      </c>
    </row>
    <row r="1103">
      <c r="A1103" s="1" t="n">
        <v>1101</v>
      </c>
      <c r="B1103" t="n">
        <v>2020</v>
      </c>
      <c r="C1103" s="2" t="n">
        <v>43871.85034458333</v>
      </c>
      <c r="D1103" t="inlineStr">
        <is>
          <t>G1</t>
        </is>
      </c>
      <c r="E1103" t="inlineStr">
        <is>
          <t>VENEZUELANOS</t>
        </is>
      </c>
      <c r="F1103" t="inlineStr">
        <is>
          <t>MARANHÃO</t>
        </is>
      </c>
      <c r="G1103" t="inlineStr">
        <is>
          <t>G1 MA — SÃO LUÍS, MA</t>
        </is>
      </c>
      <c r="H1103" t="inlineStr">
        <is>
          <t>AUTORIDADES DISCUTEM A SITUAÇÃO DE ÍNDIOS VENEZUELANOS REFUGIADOS EM IMPERATRIZ</t>
        </is>
      </c>
      <c r="I1103" t="inlineStr">
        <is>
          <t>REUNIÃO BUSCA ENCONTRAR MEIOS DE PROMOVER EDUCAÇÃO E GERAÇÃO DE RENDA PARA OS INDÍGENAS QUE VIVEM EM ABRIGO TEMPORÁRIO EM IMPERATRIZ, NO SUL DO MARANHÃO.</t>
        </is>
      </c>
      <c r="J1103">
        <f>HYPERLINK("https://g1.globo.com/ma/maranhao/noticia/2020/02/10/autoridades-discutem-a-situacao-de-indios-venezuelanos-refugiados-em-imperatriz.ghtml", "URL")</f>
        <v/>
      </c>
      <c r="K1103">
        <f>HYPERLINK("https://raw.githubusercontent.com/marcosmapl/dataset_imigrantes/main/noticias_filtered/g1/venezuelanos/2020/01_fev/html/g1_d26554aa-2316-11ed-b24f-6dbe51e79fca_3172.html", "HTML")</f>
        <v/>
      </c>
      <c r="L1103">
        <f>HYPERLINK("https://raw.githubusercontent.com/marcosmapl/dataset_imigrantes/main/noticias_filtered/g1/venezuelanos/2020/01_fev/txt/g1_d26554aa-2316-11ed-b24f-6dbe51e79fca_3172.txt", "TXT")</f>
        <v/>
      </c>
    </row>
    <row r="1104">
      <c r="A1104" s="1" t="n">
        <v>1102</v>
      </c>
      <c r="B1104" t="n">
        <v>2020</v>
      </c>
      <c r="C1104" s="2" t="n">
        <v>43871.67847222222</v>
      </c>
      <c r="D1104" t="inlineStr">
        <is>
          <t>A CRITICA</t>
        </is>
      </c>
      <c r="E1104" t="inlineStr">
        <is>
          <t>VENEZUELANOS</t>
        </is>
      </c>
      <c r="F1104" t="inlineStr">
        <is>
          <t>MANAUS</t>
        </is>
      </c>
      <c r="G1104" t="inlineStr">
        <is>
          <t>ROBSON ADRIANO</t>
        </is>
      </c>
      <c r="H1104" t="inlineStr">
        <is>
          <t>QUATRO DIAS: FAMÍLIA BUSCA INFORMAÇÕES SOBRE CRIANÇA DE 2 ANOS DESAPARECIDA</t>
        </is>
      </c>
      <c r="I1104" t="inlineStr">
        <is>
          <t>ERLON GABRIEL, 2 ANOS, DESAPARECEU ENQUANTO BRINCAVA NO PÁTIO DA CASA ONDE MORA NA COMUNIDADE UNIÃO DA VITÓRIA. A TIA DO MENINO AFIRMA QUE RECEBE MUITOS TROTES</t>
        </is>
      </c>
      <c r="J1104">
        <f>HYPERLINK("https://www.acritica.com/manaus/quatro-dias-familia-busca-informac-es-sobre-crianca-de-2-anos-desaparecida-1.49044", "URL")</f>
        <v/>
      </c>
      <c r="K1104">
        <f>HYPERLINK("https://raw.githubusercontent.com/marcosmapl/dataset_imigrantes/main/noticias_filtered/a_critica/venezuelanos/2020/01_fev/html/1.49044_654.html", "HTML")</f>
        <v/>
      </c>
      <c r="L1104">
        <f>HYPERLINK("https://raw.githubusercontent.com/marcosmapl/dataset_imigrantes/main/noticias_filtered/a_critica/venezuelanos/2020/01_fev/txt/1.49044_654.txt", "TXT")</f>
        <v/>
      </c>
    </row>
    <row r="1105">
      <c r="A1105" s="1" t="n">
        <v>1103</v>
      </c>
      <c r="B1105" t="n">
        <v>2020</v>
      </c>
      <c r="C1105" s="2" t="n">
        <v>43870.78777777778</v>
      </c>
      <c r="D1105" t="inlineStr">
        <is>
          <t>A CRITICA</t>
        </is>
      </c>
      <c r="E1105" t="inlineStr">
        <is>
          <t>VENEZUELANOS</t>
        </is>
      </c>
      <c r="F1105" t="inlineStr">
        <is>
          <t>MANAUS</t>
        </is>
      </c>
      <c r="G1105" t="inlineStr">
        <is>
          <t>PORTAL A CRÍTICA</t>
        </is>
      </c>
      <c r="H1105" t="inlineStr">
        <is>
          <t>COM ALTA DE 87% NAS CIRURGIAS CARDÍACAS, FRANCISCA MENDES DOBRA ATENDIMENTO</t>
        </is>
      </c>
      <c r="I1105" t="inlineStr">
        <is>
          <t>EM JANEIRO DE 2020 FORAM REALIZADOS 58 PROCEDIMENTOS NA UNIDADE, CONTRA 31 REALIZADOS NO MESMO PERÍODO EM 2019. CIRURGIAS PEDIÁTRICAS FEITAS NO HUFM DOBRARAM EM JANEIRO, DE ACORDO COM A SUSAM</t>
        </is>
      </c>
      <c r="J1105">
        <f>HYPERLINK("https://www.acritica.com/manaus/com-alta-de-87-nas-cirurgias-cardiacas-francisca-mendes-dobra-atendimento-1.49070", "URL")</f>
        <v/>
      </c>
      <c r="K1105">
        <f>HYPERLINK("https://raw.githubusercontent.com/marcosmapl/dataset_imigrantes/main/noticias_filtered/a_critica/venezuelanos/2020/01_fev/html/1.49070_208.html", "HTML")</f>
        <v/>
      </c>
      <c r="L1105">
        <f>HYPERLINK("https://raw.githubusercontent.com/marcosmapl/dataset_imigrantes/main/noticias_filtered/a_critica/venezuelanos/2020/01_fev/txt/1.49070_208.txt", "TXT")</f>
        <v/>
      </c>
    </row>
    <row r="1106">
      <c r="A1106" s="1" t="n">
        <v>1104</v>
      </c>
      <c r="B1106" t="n">
        <v>2020</v>
      </c>
      <c r="C1106" s="2" t="n">
        <v>43868.91989994213</v>
      </c>
      <c r="D1106" t="inlineStr">
        <is>
          <t>G1</t>
        </is>
      </c>
      <c r="E1106" t="inlineStr">
        <is>
          <t>VENEZUELANOS</t>
        </is>
      </c>
      <c r="F1106" t="inlineStr">
        <is>
          <t>CEARÁ</t>
        </is>
      </c>
      <c r="G1106" t="inlineStr">
        <is>
          <t>LUCAS FALCONERY, HALISSON FERREIRA, LYGIA AZEVEDO, G1 CE</t>
        </is>
      </c>
      <c r="H1106" t="inlineStr">
        <is>
          <t>PAIS DE ESTUDANTES SE MOBILIZAM PARA AJUDAR VENEZUELANOS EM FORTALEZA</t>
        </is>
      </c>
      <c r="I1106" t="inlineStr">
        <is>
          <t>GRUPO DE 20 VENEZUELANOS VIVE EM CASA DO BAIRRO DIAS MACÊDO E BUSCA MEIOS DE SOBREVIVÊNCIA.</t>
        </is>
      </c>
      <c r="J1106">
        <f>HYPERLINK("https://g1.globo.com/ce/ceara/noticia/2020/02/07/pais-de-estudantes-se-mobilizam-para-ajudar-venezuelanos-em-fortaleza.ghtml", "URL")</f>
        <v/>
      </c>
      <c r="K1106">
        <f>HYPERLINK("https://raw.githubusercontent.com/marcosmapl/dataset_imigrantes/main/noticias_filtered/g1/venezuelanos/2020/01_fev/html/g1_402e8a26-231f-11ed-b24f-6dbe51e79fca_3611.html", "HTML")</f>
        <v/>
      </c>
      <c r="L1106">
        <f>HYPERLINK("https://raw.githubusercontent.com/marcosmapl/dataset_imigrantes/main/noticias_filtered/g1/venezuelanos/2020/01_fev/txt/g1_402e8a26-231f-11ed-b24f-6dbe51e79fca_3611.txt", "TXT")</f>
        <v/>
      </c>
    </row>
    <row r="1107">
      <c r="A1107" s="1" t="n">
        <v>1105</v>
      </c>
      <c r="B1107" t="n">
        <v>2020</v>
      </c>
      <c r="C1107" s="2" t="n">
        <v>43868.46278935186</v>
      </c>
      <c r="D1107" t="inlineStr">
        <is>
          <t>A CRITICA</t>
        </is>
      </c>
      <c r="E1107" t="inlineStr">
        <is>
          <t>VENEZUELANOS</t>
        </is>
      </c>
      <c r="F1107" t="inlineStr">
        <is>
          <t>ESPORTES</t>
        </is>
      </c>
      <c r="G1107" t="inlineStr">
        <is>
          <t>GABRIEL FERREIRA</t>
        </is>
      </c>
      <c r="H1107" t="inlineStr">
        <is>
          <t>BARCELOS RECEBE NOS DIAS 22 E 23 DE FEVEREIRO 1º TORNEIO INTERNACIONAL DE PESCA ESPORTIVA</t>
        </is>
      </c>
      <c r="I1107" t="inlineStr">
        <is>
          <t>EVENTO VAI CONTAR COM A PRESENÇA DE UM DOS PIONEIROS DA MODALIDADE NO BRASIL, O PESCADOR JOHNNY HOFFMANN</t>
        </is>
      </c>
      <c r="J1107">
        <f>HYPERLINK("https://www.acritica.com/esportes/barcelos-recebe-nos-dias-22-e-23-de-fevereiro-1-torneio-internacional-de-pesca-esportiva-1.49435", "URL")</f>
        <v/>
      </c>
      <c r="K1107">
        <f>HYPERLINK("https://raw.githubusercontent.com/marcosmapl/dataset_imigrantes/main/noticias_filtered/a_critica/venezuelanos/2020/01_fev/html/1.49435_1311.html", "HTML")</f>
        <v/>
      </c>
      <c r="L1107">
        <f>HYPERLINK("https://raw.githubusercontent.com/marcosmapl/dataset_imigrantes/main/noticias_filtered/a_critica/venezuelanos/2020/01_fev/txt/1.49435_1311.txt", "TXT")</f>
        <v/>
      </c>
    </row>
    <row r="1108">
      <c r="A1108" s="1" t="n">
        <v>1106</v>
      </c>
      <c r="B1108" t="n">
        <v>2020</v>
      </c>
      <c r="C1108" s="2" t="n">
        <v>43867.63888888889</v>
      </c>
      <c r="D1108" t="inlineStr">
        <is>
          <t>A CRITICA</t>
        </is>
      </c>
      <c r="E1108" t="inlineStr">
        <is>
          <t>AMBOS</t>
        </is>
      </c>
      <c r="F1108" t="inlineStr">
        <is>
          <t>MANAUS</t>
        </is>
      </c>
      <c r="G1108" t="inlineStr">
        <is>
          <t>CLEY MEDEIROS</t>
        </is>
      </c>
      <c r="H1108" t="inlineStr">
        <is>
          <t>MORADORES DO MONTE HOREBE REALIZAM PROTESTO CONTRA REINTEGRAÇÃO DE POSSE</t>
        </is>
      </c>
      <c r="I1108" t="inlineStr">
        <is>
          <t>MANIFESTANTES PEDEM A SUSPENSÃO DE UM MANDADO DE REINTEGRAÇÃO DE POSSE EXPEDIDO PELO TJ-AM EM FAVOR DA CONSTRUTORA AMAZONIDAS</t>
        </is>
      </c>
      <c r="J1108">
        <f>HYPERLINK("https://www.acritica.com/manaus/moradores-do-monte-horebe-realizam-protesto-contra-reintegrac-o-de-posse-1.49182", "URL")</f>
        <v/>
      </c>
      <c r="K1108">
        <f>HYPERLINK("https://raw.githubusercontent.com/marcosmapl/dataset_imigrantes/main/noticias_filtered/a_critica/ambos/2020/01_fev/html/1.49182_688.html", "HTML")</f>
        <v/>
      </c>
      <c r="L1108">
        <f>HYPERLINK("https://raw.githubusercontent.com/marcosmapl/dataset_imigrantes/main/noticias_filtered/a_critica/ambos/2020/01_fev/txt/1.49182_688.txt", "TXT")</f>
        <v/>
      </c>
    </row>
    <row r="1109">
      <c r="A1109" s="1" t="n">
        <v>1107</v>
      </c>
      <c r="B1109" t="n">
        <v>2020</v>
      </c>
      <c r="C1109" s="2" t="n">
        <v>43867.61009259259</v>
      </c>
      <c r="D1109" t="inlineStr">
        <is>
          <t>A CRITICA</t>
        </is>
      </c>
      <c r="E1109" t="inlineStr">
        <is>
          <t>VENEZUELANOS</t>
        </is>
      </c>
      <c r="F1109" t="inlineStr">
        <is>
          <t>MANAUS</t>
        </is>
      </c>
      <c r="G1109" t="inlineStr">
        <is>
          <t>DANIEL AMORIM</t>
        </is>
      </c>
      <c r="H1109" t="inlineStr">
        <is>
          <t>EM 2019, 854 CRIANÇAS DE MÃES VENEZUELANAS NASCERAM NO AM</t>
        </is>
      </c>
      <c r="I1109" t="inlineStr">
        <is>
          <t>DADOS FORAM APRESENTADOS PELA SECRETARIA DE ESTADO DE SAÚDE DO AMAZONAS (SUSAM) DURANTE CICLO DE PALESTRAS REALIZADO NO ABRIGO MOACYR ALVES</t>
        </is>
      </c>
      <c r="J1109">
        <f>HYPERLINK("https://www.acritica.com/manaus/em-2019-854-criancas-de-m-es-venezuelanas-nasceram-no-am-1.49185", "URL")</f>
        <v/>
      </c>
      <c r="K1109">
        <f>HYPERLINK("https://raw.githubusercontent.com/marcosmapl/dataset_imigrantes/main/noticias_filtered/a_critica/venezuelanos/2020/01_fev/html/1.49185_696.html", "HTML")</f>
        <v/>
      </c>
      <c r="L1109">
        <f>HYPERLINK("https://raw.githubusercontent.com/marcosmapl/dataset_imigrantes/main/noticias_filtered/a_critica/venezuelanos/2020/01_fev/txt/1.49185_696.txt", "TXT")</f>
        <v/>
      </c>
    </row>
    <row r="1110">
      <c r="A1110" s="1" t="n">
        <v>1108</v>
      </c>
      <c r="B1110" t="n">
        <v>2020</v>
      </c>
      <c r="C1110" s="2" t="n">
        <v>43866.79193020833</v>
      </c>
      <c r="D1110" t="inlineStr">
        <is>
          <t>G1</t>
        </is>
      </c>
      <c r="E1110" t="inlineStr">
        <is>
          <t>HAITIANOS</t>
        </is>
      </c>
      <c r="F1110" t="inlineStr">
        <is>
          <t>PIRACICABA E REGIÃO</t>
        </is>
      </c>
      <c r="G1110" t="inlineStr">
        <is>
          <t>G1 PIRACICABA E REGIÃO</t>
        </is>
      </c>
      <c r="H1110" t="inlineStr">
        <is>
          <t>BATIDA DE CAMINHÃO EM CARRO DEIXA TRÊS PESSOAS FERIDAS EM RODOVIA DE CORDEIRÓPOLIS</t>
        </is>
      </c>
      <c r="I1110" t="inlineStr">
        <is>
          <t>TRÊS HAITIANOS QUE ESTAVAM NO VEÍCULO DE PASSEIO FICARAM PRESOS NA FERRAGENS; UMA DAS VÍTIMAS FOI SOCORRIDA EM ESTADO GRAVE E DUAS TIVERAM FERIMENTOS LEVES E ESTAVAM CONSCIENTES.</t>
        </is>
      </c>
      <c r="J1110">
        <f>HYPERLINK("https://g1.globo.com/sp/piracicaba-regiao/noticia/2020/02/05/batida-de-caminhao-em-carro-deixa-tres-pessoas-feridas-em-cordeiropolis.ghtml", "URL")</f>
        <v/>
      </c>
      <c r="K1110">
        <f>HYPERLINK("https://raw.githubusercontent.com/marcosmapl/dataset_imigrantes/main/noticias_filtered/g1/haitianos/2020/01_fev/html/g1_f2716930-22f0-11ed-b24f-6dbe51e79fca_1727.html", "HTML")</f>
        <v/>
      </c>
      <c r="L1110">
        <f>HYPERLINK("https://raw.githubusercontent.com/marcosmapl/dataset_imigrantes/main/noticias_filtered/g1/haitianos/2020/01_fev/txt/g1_f2716930-22f0-11ed-b24f-6dbe51e79fca_1727.txt", "TXT")</f>
        <v/>
      </c>
    </row>
    <row r="1111">
      <c r="A1111" s="1" t="n">
        <v>1109</v>
      </c>
      <c r="B1111" t="n">
        <v>2020</v>
      </c>
      <c r="C1111" s="2" t="n">
        <v>43865.64136574074</v>
      </c>
      <c r="D1111" t="inlineStr">
        <is>
          <t>A CRITICA</t>
        </is>
      </c>
      <c r="E1111" t="inlineStr">
        <is>
          <t>VENEZUELANOS</t>
        </is>
      </c>
      <c r="F1111" t="inlineStr">
        <is>
          <t>MANAUS</t>
        </is>
      </c>
      <c r="G1111" t="inlineStr">
        <is>
          <t>PORTAL A CRÍTICA</t>
        </is>
      </c>
      <c r="H1111" t="inlineStr">
        <is>
          <t>VENEZUELANOS WARAO PARTICIPAM DE FORMAÇÃO DE SAÚDE EM MANAUS</t>
        </is>
      </c>
      <c r="I1111" t="inlineStr">
        <is>
          <t>VOLUNTÁRIOS INDÍGENAS PARTICIPAM DE TREINAMENTOS DE SAÚDE NOS ABRIGOS, EM AÇÃO QUE CONTA COM APOIO DA AGÊNCIA DA ONU PARA REFUGIADOS (ACNUR)</t>
        </is>
      </c>
      <c r="J1111">
        <f>HYPERLINK("https://www.acritica.com/manaus/venezuelanos-warao-participam-de-formac-o-de-saude-em-manaus-1.49615", "URL")</f>
        <v/>
      </c>
      <c r="K1111">
        <f>HYPERLINK("https://raw.githubusercontent.com/marcosmapl/dataset_imigrantes/main/noticias_filtered/a_critica/venezuelanos/2020/01_fev/html/1.49615_1334.html", "HTML")</f>
        <v/>
      </c>
      <c r="L1111">
        <f>HYPERLINK("https://raw.githubusercontent.com/marcosmapl/dataset_imigrantes/main/noticias_filtered/a_critica/venezuelanos/2020/01_fev/txt/1.49615_1334.txt", "TXT")</f>
        <v/>
      </c>
    </row>
    <row r="1112">
      <c r="A1112" s="1" t="n">
        <v>1110</v>
      </c>
      <c r="B1112" t="n">
        <v>2020</v>
      </c>
      <c r="C1112" s="2" t="n">
        <v>43865.50952546296</v>
      </c>
      <c r="D1112" t="inlineStr">
        <is>
          <t>A CRITICA</t>
        </is>
      </c>
      <c r="E1112" t="inlineStr">
        <is>
          <t>VENEZUELANOS</t>
        </is>
      </c>
      <c r="F1112" t="inlineStr"/>
      <c r="G1112" t="inlineStr">
        <is>
          <t>ANTÔNIO PAULO</t>
        </is>
      </c>
      <c r="H1112" t="inlineStr">
        <is>
          <t>REFORMA TRIBUTÁRIA É PRIORIDADE DA BANCADA DO AM EM BRASÍLIA</t>
        </is>
      </c>
      <c r="I1112" t="inlineStr">
        <is>
          <t>PARA DEPUTADOS E SENADORES DO AMAZONAS, A PRINCIPAL BANDEIRA SERÁ IMPEDIR PERDAS COM A REFORMA QUE SERÁ DEBATIDA NESTE ANO NO CONGRESSO NACIONAL</t>
        </is>
      </c>
      <c r="J1112">
        <f>HYPERLINK("https://www.acritica.com/reforma-tributaria-e-prioridade-da-bancada-do-am-em-brasilia-1.49580", "URL")</f>
        <v/>
      </c>
      <c r="K1112">
        <f>HYPERLINK("https://raw.githubusercontent.com/marcosmapl/dataset_imigrantes/main/noticias_filtered/a_critica/venezuelanos/2020/01_fev/html/1.49580_54.html", "HTML")</f>
        <v/>
      </c>
      <c r="L1112">
        <f>HYPERLINK("https://raw.githubusercontent.com/marcosmapl/dataset_imigrantes/main/noticias_filtered/a_critica/venezuelanos/2020/01_fev/txt/1.49580_54.txt", "TXT")</f>
        <v/>
      </c>
    </row>
    <row r="1113">
      <c r="A1113" s="1" t="n">
        <v>1111</v>
      </c>
      <c r="B1113" t="n">
        <v>2020</v>
      </c>
      <c r="C1113" s="2" t="n">
        <v>43864.64307503472</v>
      </c>
      <c r="D1113" t="inlineStr">
        <is>
          <t>G1</t>
        </is>
      </c>
      <c r="E1113" t="inlineStr">
        <is>
          <t>VENEZUELANOS</t>
        </is>
      </c>
      <c r="F1113" t="inlineStr">
        <is>
          <t>RORAIMA</t>
        </is>
      </c>
      <c r="G1113" t="inlineStr">
        <is>
          <t>G1 RR</t>
        </is>
      </c>
      <c r="H1113" t="inlineStr">
        <is>
          <t>NIGERIANO RETÉM PASSAPORTE DE VENEZUELANO POR DÍVIDA EM HOTEL E É PRESO PELA PF EM BOA VISTA</t>
        </is>
      </c>
      <c r="I1113" t="inlineStr">
        <is>
          <t>VENEZUELANO DISSE À FICCO QUE FOI DESPEJADO DO HOTEL DEPOIS QUE DESISTIU DE PARTICIPAR DE ESQUEMA DE TRÁFICO INTERNACIONAL DE DROGAS.</t>
        </is>
      </c>
      <c r="J1113">
        <f>HYPERLINK("https://g1.globo.com/rr/roraima/noticia/2020/02/03/nigeriano-retem-passaporte-de-venezuelano-por-divida-em-hotel-e-e-preso-pela-pf-em-boa-vista.ghtml", "URL")</f>
        <v/>
      </c>
      <c r="K1113">
        <f>HYPERLINK("https://raw.githubusercontent.com/marcosmapl/dataset_imigrantes/main/noticias_filtered/g1/venezuelanos/2020/01_fev/html/g1_46f0e5ce-232a-11ed-b24f-6dbe51e79fca_4168.html", "HTML")</f>
        <v/>
      </c>
      <c r="L1113">
        <f>HYPERLINK("https://raw.githubusercontent.com/marcosmapl/dataset_imigrantes/main/noticias_filtered/g1/venezuelanos/2020/01_fev/txt/g1_46f0e5ce-232a-11ed-b24f-6dbe51e79fca_4168.txt", "TXT")</f>
        <v/>
      </c>
    </row>
    <row r="1114">
      <c r="A1114" s="1" t="n">
        <v>1112</v>
      </c>
      <c r="B1114" t="n">
        <v>2020</v>
      </c>
      <c r="C1114" s="2" t="n">
        <v>43864.50672453704</v>
      </c>
      <c r="D1114" t="inlineStr">
        <is>
          <t>A CRITICA</t>
        </is>
      </c>
      <c r="E1114" t="inlineStr">
        <is>
          <t>HAITIANOS</t>
        </is>
      </c>
      <c r="F1114" t="inlineStr">
        <is>
          <t>ESPORTES</t>
        </is>
      </c>
      <c r="G1114" t="inlineStr">
        <is>
          <t>LEONARDO SENA</t>
        </is>
      </c>
      <c r="H1114" t="inlineStr">
        <is>
          <t>NA COMPENSA, PROJETO CONCILIA FUTSAL E RELIGIÃO PARA AFASTAR JOVENS DAS RUAS</t>
        </is>
      </c>
      <c r="I1114" t="inlineStr">
        <is>
          <t>RESPONSÁVEL PELA AÇÃO SOCIAL "DEUS ESCOLHEU VOCÊ FUTSAL" HÁ 11 ANOS, EMANOEL DOS SANTOS CONTA COM A AJUDA DA ESPOSA JOELMA. MESMO COM DIFICULDADES FINANCEIRAS, OS DOIS PERSISTEM NO CUIDADO A JOVENS</t>
        </is>
      </c>
      <c r="J1114">
        <f>HYPERLINK("https://www.acritica.com/esportes/na-compensa-projeto-concilia-futsal-e-religi-o-para-afastar-jovens-das-ruas-1.49683", "URL")</f>
        <v/>
      </c>
      <c r="K1114">
        <f>HYPERLINK("https://raw.githubusercontent.com/marcosmapl/dataset_imigrantes/main/noticias_filtered/a_critica/haitianos/2020/01_fev/html/1.49683_729.html", "HTML")</f>
        <v/>
      </c>
      <c r="L1114">
        <f>HYPERLINK("https://raw.githubusercontent.com/marcosmapl/dataset_imigrantes/main/noticias_filtered/a_critica/haitianos/2020/01_fev/txt/1.49683_729.txt", "TXT")</f>
        <v/>
      </c>
    </row>
    <row r="1115">
      <c r="A1115" s="1" t="n">
        <v>1113</v>
      </c>
      <c r="B1115" t="n">
        <v>2020</v>
      </c>
      <c r="C1115" s="2" t="n">
        <v>43862.04430319445</v>
      </c>
      <c r="D1115" t="inlineStr">
        <is>
          <t>G1</t>
        </is>
      </c>
      <c r="E1115" t="inlineStr">
        <is>
          <t>VENEZUELANOS</t>
        </is>
      </c>
      <c r="F1115" t="inlineStr">
        <is>
          <t>POLÍTICA</t>
        </is>
      </c>
      <c r="G1115" t="inlineStr">
        <is>
          <t>MATEUS RODRIGUES E GABRIEL PALMA, G1 E TV GLOBO — BRASÍLIA</t>
        </is>
      </c>
      <c r="H1115" t="inlineStr">
        <is>
          <t>BRASIL RECONHECE, DE UMA VEZ, 17 MIL VENEZUELANOS COMO REFUGIADOS</t>
        </is>
      </c>
      <c r="I1115" t="inlineStr">
        <is>
          <t>AO TODO, CERCA DE 40 MIL CIDADÃOS DA VENEZUELA JÁ TIVERAM STATUS RECONHECIDO. COMITÊ QUE REÚNE GOVERNO E ENTIDADES DIZ ANALISAR MAIS DE 100 MIL PEDIDOS DE REFÚGIO DO PAÍS VIZINHO.</t>
        </is>
      </c>
      <c r="J1115">
        <f>HYPERLINK("https://g1.globo.com/politica/noticia/2020/01/31/brasil-reconhece-em-bloco-17-mil-venezuelanos-como-refugiados.ghtml", "URL")</f>
        <v/>
      </c>
      <c r="K1115">
        <f>HYPERLINK("https://raw.githubusercontent.com/marcosmapl/dataset_imigrantes/main/noticias_filtered/g1/venezuelanos/2020/01_fev/html/g1_a170bcf8-231c-11ed-b24f-6dbe51e79fca_3456.html", "HTML")</f>
        <v/>
      </c>
      <c r="L1115">
        <f>HYPERLINK("https://raw.githubusercontent.com/marcosmapl/dataset_imigrantes/main/noticias_filtered/g1/venezuelanos/2020/01_fev/txt/g1_a170bcf8-231c-11ed-b24f-6dbe51e79fca_3456.txt", "TXT")</f>
        <v/>
      </c>
    </row>
    <row r="1116">
      <c r="A1116" s="1" t="n">
        <v>1114</v>
      </c>
      <c r="B1116" t="n">
        <v>2020</v>
      </c>
      <c r="C1116" s="2" t="n">
        <v>43860.89621237269</v>
      </c>
      <c r="D1116" t="inlineStr">
        <is>
          <t>G1</t>
        </is>
      </c>
      <c r="E1116" t="inlineStr">
        <is>
          <t>VENEZUELANOS</t>
        </is>
      </c>
      <c r="F1116" t="inlineStr">
        <is>
          <t>RORAIMA</t>
        </is>
      </c>
      <c r="G1116" t="inlineStr">
        <is>
          <t>FABRÍCIO ARAÚJO E PHUEBLO CALIRI, G1 RR E REDE AMAZÔNICA — BOA VISTA</t>
        </is>
      </c>
      <c r="H1116" t="inlineStr">
        <is>
          <t>BOPE FAZ OPERAÇÃO EM PRÉDIOS OCUPADOS POR VENEZUELANOS NO CENTRO DE BOA VISTA</t>
        </is>
      </c>
      <c r="I1116" t="inlineStr">
        <is>
          <t>FISCALIZAÇÃO FOI NOS PRÉDIOS DA ANTIGA SECRETARIA DE EDUCAÇÃO ONDE FUNCIONAVA O BOA VISTA SHOPPING; NINGUÉM FOI PRESO. POLICIAIS ACHARAM UM CACHORRO ROUBADO E APREENDERAM CELULARES E ARMAS BRANCAS.</t>
        </is>
      </c>
      <c r="J1116">
        <f>HYPERLINK("https://g1.globo.com/rr/roraima/noticia/2020/01/30/bope-faz-operacao-em-predio-ocupado-por-venezuelanos-no-centro-de-boa-vista.ghtml", "URL")</f>
        <v/>
      </c>
      <c r="K1116">
        <f>HYPERLINK("https://raw.githubusercontent.com/marcosmapl/dataset_imigrantes/main/noticias_filtered/g1/venezuelanos/2020/00_jan/html/g1_d84fca9a-2315-11ed-b24f-6dbe51e79fca_3109.html", "HTML")</f>
        <v/>
      </c>
      <c r="L1116">
        <f>HYPERLINK("https://raw.githubusercontent.com/marcosmapl/dataset_imigrantes/main/noticias_filtered/g1/venezuelanos/2020/00_jan/txt/g1_d84fca9a-2315-11ed-b24f-6dbe51e79fca_3109.txt", "TXT")</f>
        <v/>
      </c>
    </row>
    <row r="1117">
      <c r="A1117" s="1" t="n">
        <v>1115</v>
      </c>
      <c r="B1117" t="n">
        <v>2020</v>
      </c>
      <c r="C1117" s="2" t="n">
        <v>43860.88175305555</v>
      </c>
      <c r="D1117" t="inlineStr">
        <is>
          <t>G1</t>
        </is>
      </c>
      <c r="E1117" t="inlineStr">
        <is>
          <t>VENEZUELANOS</t>
        </is>
      </c>
      <c r="F1117" t="inlineStr">
        <is>
          <t>RORAIMA</t>
        </is>
      </c>
      <c r="G1117" t="inlineStr">
        <is>
          <t>G1 RR — BOA VISTA</t>
        </is>
      </c>
      <c r="H1117" t="inlineStr">
        <is>
          <t>RORAIMA AUMENTA ARRECADAÇÃO DE IMPOSTO E ESTUDO DA FGV ATRIBUI À IMIGRAÇÃO VENEZUELANA</t>
        </is>
      </c>
      <c r="I1117" t="inlineStr">
        <is>
          <t>RELATÓRIO DESENVOLVIDO PELA DIRETORIA DE ANÁLISE DE POLÍTICAS PÚBLICAS DA FGV FOI DIVULGADO NESTA QUINTA-FEIRA (30).</t>
        </is>
      </c>
      <c r="J1117">
        <f>HYPERLINK("https://g1.globo.com/rr/roraima/noticia/2020/01/30/roraima-aumenta-arrecadacao-de-imposto-e-estudo-da-fgv-atribui-a-imigracao-venezuelana.ghtml", "URL")</f>
        <v/>
      </c>
      <c r="K1117">
        <f>HYPERLINK("https://raw.githubusercontent.com/marcosmapl/dataset_imigrantes/main/noticias_filtered/g1/venezuelanos/2020/00_jan/html/g1_9dfde7fa-2329-11ed-b24f-6dbe51e79fca_4127.html", "HTML")</f>
        <v/>
      </c>
      <c r="L1117">
        <f>HYPERLINK("https://raw.githubusercontent.com/marcosmapl/dataset_imigrantes/main/noticias_filtered/g1/venezuelanos/2020/00_jan/txt/g1_9dfde7fa-2329-11ed-b24f-6dbe51e79fca_4127.txt", "TXT")</f>
        <v/>
      </c>
    </row>
    <row r="1118">
      <c r="A1118" s="1" t="n">
        <v>1116</v>
      </c>
      <c r="B1118" t="n">
        <v>2020</v>
      </c>
      <c r="C1118" s="2" t="n">
        <v>43858.89327672454</v>
      </c>
      <c r="D1118" t="inlineStr">
        <is>
          <t>G1</t>
        </is>
      </c>
      <c r="E1118" t="inlineStr">
        <is>
          <t>HAITIANOS</t>
        </is>
      </c>
      <c r="F1118" t="inlineStr">
        <is>
          <t>SANTA CATARINA</t>
        </is>
      </c>
      <c r="G1118" t="inlineStr">
        <is>
          <t>G1 SC</t>
        </is>
      </c>
      <c r="H1118" t="inlineStr">
        <is>
          <t>QUASE DOIS MESES DEPOIS, CORPOS DE HAITIANAS MORTAS EM ACIDENTE EM SC SÃO ENTERRADOS</t>
        </is>
      </c>
      <c r="I1118" t="inlineStr">
        <is>
          <t>QUATRO PESSOAS MORRERAM EM PINHALZINHO NO INÍCIO DE DEZEMBRO. ÚNICO SOBREVIVENTE TEVE ALTA NESTA SEMANA.</t>
        </is>
      </c>
      <c r="J1118">
        <f>HYPERLINK("https://g1.globo.com/sc/santa-catarina/noticia/2020/01/28/quase-dois-meses-depois-corpos-de-haitianas-mortas-em-acidente-em-sc-sao-enterrados.ghtml", "URL")</f>
        <v/>
      </c>
      <c r="K1118">
        <f>HYPERLINK("https://raw.githubusercontent.com/marcosmapl/dataset_imigrantes/main/noticias_filtered/g1/haitianos/2020/00_jan/html/g1_15e12246-231b-11ed-b24f-6dbe51e79fca_3368.html", "HTML")</f>
        <v/>
      </c>
      <c r="L1118">
        <f>HYPERLINK("https://raw.githubusercontent.com/marcosmapl/dataset_imigrantes/main/noticias_filtered/g1/haitianos/2020/00_jan/txt/g1_15e12246-231b-11ed-b24f-6dbe51e79fca_3368.txt", "TXT")</f>
        <v/>
      </c>
    </row>
    <row r="1119">
      <c r="A1119" s="1" t="n">
        <v>1117</v>
      </c>
      <c r="B1119" t="n">
        <v>2020</v>
      </c>
      <c r="C1119" s="2" t="n">
        <v>43857.96638888889</v>
      </c>
      <c r="D1119" t="inlineStr">
        <is>
          <t>A CRITICA</t>
        </is>
      </c>
      <c r="E1119" t="inlineStr">
        <is>
          <t>VENEZUELANOS</t>
        </is>
      </c>
      <c r="F1119" t="inlineStr"/>
      <c r="G1119" t="inlineStr">
        <is>
          <t>PORTAL A CRÍTICA E AGÊNCIAS</t>
        </is>
      </c>
      <c r="H1119" t="inlineStr">
        <is>
          <t>PRIMEIRO DIPLOMA REVALIDADO PARA REFUGIADA VENEZUELANA É ENTREGUE NO AM</t>
        </is>
      </c>
      <c r="I1119" t="inlineStr">
        <is>
          <t>AÇÃO FOI RESULTADO DA ATUAÇÃO INTEGRADA ENTRE AGÊNCIA DA ONU PARA REFUGIADOS, ASSOCIAÇÃO COMPASSIVA E UNIVERSIDADE DO ESTADO DO AMAZONAS (UEA)</t>
        </is>
      </c>
      <c r="J1119">
        <f>HYPERLINK("https://www.acritica.com/primeiro-diploma-revalidado-para-refugiada-venezuelana-e-entregue-no-am-1.49959", "URL")</f>
        <v/>
      </c>
      <c r="K1119">
        <f>HYPERLINK("https://raw.githubusercontent.com/marcosmapl/dataset_imigrantes/main/noticias_filtered/a_critica/venezuelanos/2020/00_jan/html/1.49959_1371.html", "HTML")</f>
        <v/>
      </c>
      <c r="L1119">
        <f>HYPERLINK("https://raw.githubusercontent.com/marcosmapl/dataset_imigrantes/main/noticias_filtered/a_critica/venezuelanos/2020/00_jan/txt/1.49959_1371.txt", "TXT")</f>
        <v/>
      </c>
    </row>
    <row r="1120">
      <c r="A1120" s="1" t="n">
        <v>1118</v>
      </c>
      <c r="B1120" t="n">
        <v>2020</v>
      </c>
      <c r="C1120" s="2" t="n">
        <v>43857.68518435185</v>
      </c>
      <c r="D1120" t="inlineStr">
        <is>
          <t>G1</t>
        </is>
      </c>
      <c r="E1120" t="inlineStr">
        <is>
          <t>VENEZUELANOS</t>
        </is>
      </c>
      <c r="F1120" t="inlineStr">
        <is>
          <t>AMAZONAS</t>
        </is>
      </c>
      <c r="G1120" t="inlineStr">
        <is>
          <t>G1 AM</t>
        </is>
      </c>
      <c r="H1120" t="inlineStr">
        <is>
          <t>BIÓLOGA E DOUTORA, VENEZUELANA QUE VIVE NO AM É PRIMEIRA REFUGIADA A TER DIPLOMA REVALIDADO: 'VOU PODER RETRIBUIR O QUE BRASIL FEZ POR MIM'</t>
        </is>
      </c>
      <c r="I1120" t="inlineStr">
        <is>
          <t>AÇÃO FOI RESULTADO DA ATUAÇÃO INTEGRADA ENTRE ACNUR, ASSOCIAÇÃO COMPASSIVA E UNIVERSIDADE DO ESTADO DO AMAZONAS (UEA).</t>
        </is>
      </c>
      <c r="J1120">
        <f>HYPERLINK("https://g1.globo.com/am/amazonas/noticia/2020/01/27/biologa-e-doutora-venezuelana-que-vive-no-am-e-primeira-refugiada-a-ter-diploma-revalidado-vou-poder-retribuir-o-que-brasil-fez-por-mim.ghtml", "URL")</f>
        <v/>
      </c>
      <c r="K1120">
        <f>HYPERLINK("https://raw.githubusercontent.com/marcosmapl/dataset_imigrantes/main/noticias_filtered/g1/venezuelanos/2020/00_jan/html/g1_22a0b5de-232d-11ed-b24f-6dbe51e79fca_4343.html", "HTML")</f>
        <v/>
      </c>
      <c r="L1120">
        <f>HYPERLINK("https://raw.githubusercontent.com/marcosmapl/dataset_imigrantes/main/noticias_filtered/g1/venezuelanos/2020/00_jan/txt/g1_22a0b5de-232d-11ed-b24f-6dbe51e79fca_4343.txt", "TXT")</f>
        <v/>
      </c>
    </row>
    <row r="1121">
      <c r="A1121" s="1" t="n">
        <v>1119</v>
      </c>
      <c r="B1121" t="n">
        <v>2020</v>
      </c>
      <c r="C1121" s="2" t="n">
        <v>43857.49741898148</v>
      </c>
      <c r="D1121" t="inlineStr">
        <is>
          <t>A CRITICA</t>
        </is>
      </c>
      <c r="E1121" t="inlineStr">
        <is>
          <t>VENEZUELANOS</t>
        </is>
      </c>
      <c r="F1121" t="inlineStr"/>
      <c r="G1121" t="inlineStr">
        <is>
          <t>PORTAL A CRÍTICA</t>
        </is>
      </c>
      <c r="H1121" t="inlineStr">
        <is>
          <t>EX-COMANDANTE MILITAR DA AMAZÔNIA IRÁ ASSUMIR CARGO NO MINISTÉRIO DA DEFESA</t>
        </is>
      </c>
      <c r="I1121" t="inlineStr">
        <is>
          <t>CÉSAR AUGUSTO NARDI PASSOU O COMANDO AO GENERAL DE EXÉRCITO ESTEVAM CALS DE OLIVEIRA, EM CERIMÔNIA REALIZADA NA SEDE DO COMANDO EM MANAUS</t>
        </is>
      </c>
      <c r="J1121">
        <f>HYPERLINK("https://www.acritica.com/ex-comandante-militar-da-amazonia-ira-assumir-cargo-no-ministerio-da-defesa-1.50159", "URL")</f>
        <v/>
      </c>
      <c r="K1121">
        <f>HYPERLINK("https://raw.githubusercontent.com/marcosmapl/dataset_imigrantes/main/noticias_filtered/a_critica/venezuelanos/2020/00_jan/html/1.50159_3.html", "HTML")</f>
        <v/>
      </c>
      <c r="L1121">
        <f>HYPERLINK("https://raw.githubusercontent.com/marcosmapl/dataset_imigrantes/main/noticias_filtered/a_critica/venezuelanos/2020/00_jan/txt/1.50159_3.txt", "TXT")</f>
        <v/>
      </c>
    </row>
    <row r="1122">
      <c r="A1122" s="1" t="n">
        <v>1120</v>
      </c>
      <c r="B1122" t="n">
        <v>2020</v>
      </c>
      <c r="C1122" s="2" t="n">
        <v>43855.06296221065</v>
      </c>
      <c r="D1122" t="inlineStr">
        <is>
          <t>G1</t>
        </is>
      </c>
      <c r="E1122" t="inlineStr">
        <is>
          <t>VENEZUELANOS</t>
        </is>
      </c>
      <c r="F1122" t="inlineStr">
        <is>
          <t>AMAZONAS</t>
        </is>
      </c>
      <c r="G1122" t="inlineStr">
        <is>
          <t>G1 AM</t>
        </is>
      </c>
      <c r="H1122" t="inlineStr">
        <is>
          <t>REFUGIADOS VENEZUELANOS RECEBEM SERVIÇOS DE SAÚDE NA RODOVIÁRIA DE MANAUS</t>
        </is>
      </c>
      <c r="I1122" t="inlineStr">
        <is>
          <t>ENTRE ATENDIMENTOS OFERECIDOS NO LOCAL, ESTÃO CONSULTAS MÉDICAS, VACINAÇÕES E TESTES RÁPIDOS.</t>
        </is>
      </c>
      <c r="J1122">
        <f>HYPERLINK("https://g1.globo.com/am/amazonas/noticia/2020/01/24/refugiados-venezuelanos-recebem-servicos-de-saude-na-rodoviaria-de-manaus.ghtml", "URL")</f>
        <v/>
      </c>
      <c r="K1122">
        <f>HYPERLINK("https://raw.githubusercontent.com/marcosmapl/dataset_imigrantes/main/noticias_filtered/g1/venezuelanos/2020/00_jan/html/g1_21f50776-2309-11ed-b24f-6dbe51e79fca_2428.html", "HTML")</f>
        <v/>
      </c>
      <c r="L1122">
        <f>HYPERLINK("https://raw.githubusercontent.com/marcosmapl/dataset_imigrantes/main/noticias_filtered/g1/venezuelanos/2020/00_jan/txt/g1_21f50776-2309-11ed-b24f-6dbe51e79fca_2428.txt", "TXT")</f>
        <v/>
      </c>
    </row>
    <row r="1123">
      <c r="A1123" s="1" t="n">
        <v>1121</v>
      </c>
      <c r="B1123" t="n">
        <v>2020</v>
      </c>
      <c r="C1123" s="2" t="n">
        <v>43854.42113270833</v>
      </c>
      <c r="D1123" t="inlineStr">
        <is>
          <t>G1</t>
        </is>
      </c>
      <c r="E1123" t="inlineStr">
        <is>
          <t>VENEZUELANOS</t>
        </is>
      </c>
      <c r="F1123" t="inlineStr">
        <is>
          <t>VALE DO PARAÍBA E REGIÃO</t>
        </is>
      </c>
      <c r="G1123" t="inlineStr">
        <is>
          <t>G1 VALE DO PARAÍBA E REGIÃO</t>
        </is>
      </c>
      <c r="H1123" t="inlineStr">
        <is>
          <t>MENINA VENEZUELANA GANHA PRÓTESES DE MÃOS E ANTEBRAÇOS FEITAS EM IMPRESSORA 3D EM SP</t>
        </is>
      </c>
      <c r="I1123" t="inlineStr">
        <is>
          <t>JHOSLENIS TEVE AMPUTAÇÃO BILATERAL DOS ANTEBRAÇOS APÓS TOCAR EM FIOS DE ALTA TENSÃO. UMA TIA BRASILEIRA DELA ACIONOU O PROJETO DA UNIFESP, QUE CONSEGUIU FINANCIAR PASSAGENS AÉREAS E ESTADIA PARA ELA E A AVÓ.</t>
        </is>
      </c>
      <c r="J1123">
        <f>HYPERLINK("https://g1.globo.com/sp/vale-do-paraiba-regiao/noticia/2020/01/24/menina-venezuelana-ganha-proteses-de-maos-e-antebracos-feitas-em-impressora-3d-em-sp.ghtml", "URL")</f>
        <v/>
      </c>
      <c r="K1123">
        <f>HYPERLINK("https://raw.githubusercontent.com/marcosmapl/dataset_imigrantes/main/noticias_filtered/g1/venezuelanos/2020/00_jan/html/g1_ed4bb760-2310-11ed-b24f-6dbe51e79fca_2885.html", "HTML")</f>
        <v/>
      </c>
      <c r="L1123">
        <f>HYPERLINK("https://raw.githubusercontent.com/marcosmapl/dataset_imigrantes/main/noticias_filtered/g1/venezuelanos/2020/00_jan/txt/g1_ed4bb760-2310-11ed-b24f-6dbe51e79fca_2885.txt", "TXT")</f>
        <v/>
      </c>
    </row>
    <row r="1124">
      <c r="A1124" s="1" t="n">
        <v>1122</v>
      </c>
      <c r="B1124" t="n">
        <v>2020</v>
      </c>
      <c r="C1124" s="2" t="n">
        <v>43853.43680555555</v>
      </c>
      <c r="D1124" t="inlineStr">
        <is>
          <t>A CRITICA</t>
        </is>
      </c>
      <c r="E1124" t="inlineStr">
        <is>
          <t>VENEZUELANOS</t>
        </is>
      </c>
      <c r="F1124" t="inlineStr">
        <is>
          <t>MANAUS</t>
        </is>
      </c>
      <c r="G1124" t="inlineStr">
        <is>
          <t>GABRIEL VERAS</t>
        </is>
      </c>
      <c r="H1124" t="inlineStr">
        <is>
          <t>CRIANÇA TEM PARTE DO CORPO QUEIMADO EM INCÊNDIO; FAMÍLIA FICA DESABRIGADA</t>
        </is>
      </c>
      <c r="I1124" t="inlineStr">
        <is>
          <t>TRÊS CRIANÇAS FORAM RESGATADAS POR POPULARES ANTES DA CHEGADA DO CORPO DE BOMBEIROS E UMA DELAS ESTÁ INTERNADA EM ESTADO GRAVE. A CASA FOI DEMOLIDA E IGREJA ARRECADA DOAÇÕES QUE SERÃO REPASSADAS À FAMÍLIA</t>
        </is>
      </c>
      <c r="J1124">
        <f>HYPERLINK("https://www.acritica.com/manaus/crianca-tem-parte-do-corpo-queimado-em-incendio-familia-fica-desabrigada-1.50618", "URL")</f>
        <v/>
      </c>
      <c r="K1124">
        <f>HYPERLINK("https://raw.githubusercontent.com/marcosmapl/dataset_imigrantes/main/noticias_filtered/a_critica/venezuelanos/2020/00_jan/html/1.50618_1221.html", "HTML")</f>
        <v/>
      </c>
      <c r="L1124">
        <f>HYPERLINK("https://raw.githubusercontent.com/marcosmapl/dataset_imigrantes/main/noticias_filtered/a_critica/venezuelanos/2020/00_jan/txt/1.50618_1221.txt", "TXT")</f>
        <v/>
      </c>
    </row>
    <row r="1125">
      <c r="A1125" s="1" t="n">
        <v>1123</v>
      </c>
      <c r="B1125" t="n">
        <v>2020</v>
      </c>
      <c r="C1125" s="2" t="n">
        <v>43851.81736111111</v>
      </c>
      <c r="D1125" t="inlineStr">
        <is>
          <t>A CRITICA</t>
        </is>
      </c>
      <c r="E1125" t="inlineStr">
        <is>
          <t>VENEZUELANOS</t>
        </is>
      </c>
      <c r="F1125" t="inlineStr">
        <is>
          <t>MANAUS</t>
        </is>
      </c>
      <c r="G1125" t="inlineStr">
        <is>
          <t>JOHNY VASCONCELOS</t>
        </is>
      </c>
      <c r="H1125" t="inlineStr">
        <is>
          <t>LAUDO DO IML INDICA POSSÍVEL ASSASSINATO DE ADOLESCENTE RAYNER VINÍCIUS</t>
        </is>
      </c>
      <c r="I1125" t="inlineStr">
        <is>
          <t>NOVO LAUDO APONTA CAUSA DA MORTE COMO TRAUMATISMO CRANIANO FACIAL DECORRENTE DE UMA ‘AÇÃO CONTUNDENTE’. MORTE POR AFOGAMENTO FOI DESCARTADA. OSSADA DO ADOLESCENTE FOI ENCONTRADA EM OUTUBRO DE 2019, NA PONTA NEGRA</t>
        </is>
      </c>
      <c r="J1125">
        <f>HYPERLINK("https://www.acritica.com/manaus/laudo-do-iml-indica-possivel-assassinato-de-adolescente-rayner-vinicius-1.50345", "URL")</f>
        <v/>
      </c>
      <c r="K1125">
        <f>HYPERLINK("https://raw.githubusercontent.com/marcosmapl/dataset_imigrantes/main/noticias_filtered/a_critica/venezuelanos/2020/00_jan/html/1.50345_164.html", "HTML")</f>
        <v/>
      </c>
      <c r="L1125">
        <f>HYPERLINK("https://raw.githubusercontent.com/marcosmapl/dataset_imigrantes/main/noticias_filtered/a_critica/venezuelanos/2020/00_jan/txt/1.50345_164.txt", "TXT")</f>
        <v/>
      </c>
    </row>
    <row r="1126">
      <c r="A1126" s="1" t="n">
        <v>1124</v>
      </c>
      <c r="B1126" t="n">
        <v>2020</v>
      </c>
      <c r="C1126" s="2" t="n">
        <v>43849.75486111111</v>
      </c>
      <c r="D1126" t="inlineStr">
        <is>
          <t>A CRITICA</t>
        </is>
      </c>
      <c r="E1126" t="inlineStr">
        <is>
          <t>VENEZUELANOS</t>
        </is>
      </c>
      <c r="F1126" t="inlineStr"/>
      <c r="G1126" t="inlineStr">
        <is>
          <t>AFP</t>
        </is>
      </c>
      <c r="H1126" t="inlineStr">
        <is>
          <t>MADURO DIZ TER CONTROLE DA VENEZUELA E QUER APROXIMAÇÃO COM EUA</t>
        </is>
      </c>
      <c r="I1126" t="inlineStr">
        <is>
          <t>PRESIDENTE DA VENEZUELA VIVE IMPASSE NACIONAL DESDE QUE O DEPUTADO JUAN GUAIDÓ FOI RECONHECIDO POR MAIS DE 50 PAÍSES, INCLUINDO OS EUA, COMO 'PRESIDENTE INTERINO'</t>
        </is>
      </c>
      <c r="J1126">
        <f>HYPERLINK("https://www.acritica.com/maduro-diz-ter-controle-da-venezuela-e-quer-aproximac-o-com-eua-1.50728", "URL")</f>
        <v/>
      </c>
      <c r="K1126">
        <f>HYPERLINK("https://raw.githubusercontent.com/marcosmapl/dataset_imigrantes/main/noticias_filtered/a_critica/venezuelanos/2020/00_jan/html/1.50728_1121.html", "HTML")</f>
        <v/>
      </c>
      <c r="L1126">
        <f>HYPERLINK("https://raw.githubusercontent.com/marcosmapl/dataset_imigrantes/main/noticias_filtered/a_critica/venezuelanos/2020/00_jan/txt/1.50728_1121.txt", "TXT")</f>
        <v/>
      </c>
    </row>
    <row r="1127">
      <c r="A1127" s="1" t="n">
        <v>1125</v>
      </c>
      <c r="B1127" t="n">
        <v>2020</v>
      </c>
      <c r="C1127" s="2" t="n">
        <v>43848.59513634259</v>
      </c>
      <c r="D1127" t="inlineStr">
        <is>
          <t>G1</t>
        </is>
      </c>
      <c r="E1127" t="inlineStr">
        <is>
          <t>VENEZUELANOS</t>
        </is>
      </c>
      <c r="F1127" t="inlineStr">
        <is>
          <t>MATO GROSSO</t>
        </is>
      </c>
      <c r="G1127" t="inlineStr">
        <is>
          <t>G1 MT</t>
        </is>
      </c>
      <c r="H1127" t="inlineStr">
        <is>
          <t>VENEZUELANOS INDÍGENAS ACAMPADOS PERTO DE RODOVIÁRIA DE CUIABÁ REGULARIZAM DOCUMENTOS PARA TIRAR CARTEIRA DE TRABALHO</t>
        </is>
      </c>
      <c r="I1127" t="inlineStr">
        <is>
          <t>NO ENTORNO DA RODOVIÁRIA ENCONTRAM-SE CERCA DE 20 PESSOAS, INCLUINDO TRÊS CRIANÇAS. ELES SE MUDARAM DO PAÍS DE ORIGEM EM BUSCA DE MELHORES CONDIÇÕES DE VIDA.</t>
        </is>
      </c>
      <c r="J1127">
        <f>HYPERLINK("https://g1.globo.com/mt/mato-grosso/noticia/2020/01/18/venezuelanos-indigenas-acampados-perto-de-rodoviaria-de-cuiaba-regularizam-documentos-para-tirar-carteira-de-trabalho.ghtml", "URL")</f>
        <v/>
      </c>
      <c r="K1127">
        <f>HYPERLINK("https://raw.githubusercontent.com/marcosmapl/dataset_imigrantes/main/noticias_filtered/g1/venezuelanos/2020/00_jan/html/g1_72d91994-231c-11ed-b24f-6dbe51e79fca_3447.html", "HTML")</f>
        <v/>
      </c>
      <c r="L1127">
        <f>HYPERLINK("https://raw.githubusercontent.com/marcosmapl/dataset_imigrantes/main/noticias_filtered/g1/venezuelanos/2020/00_jan/txt/g1_72d91994-231c-11ed-b24f-6dbe51e79fca_3447.txt", "TXT")</f>
        <v/>
      </c>
    </row>
    <row r="1128">
      <c r="A1128" s="1" t="n">
        <v>1126</v>
      </c>
      <c r="B1128" t="n">
        <v>2020</v>
      </c>
      <c r="C1128" s="2" t="n">
        <v>43847.83940615741</v>
      </c>
      <c r="D1128" t="inlineStr">
        <is>
          <t>G1</t>
        </is>
      </c>
      <c r="E1128" t="inlineStr">
        <is>
          <t>AMBOS</t>
        </is>
      </c>
      <c r="F1128" t="inlineStr">
        <is>
          <t>RORAIMA</t>
        </is>
      </c>
      <c r="G1128" t="inlineStr">
        <is>
          <t>G1 RR — BOA VISTA</t>
        </is>
      </c>
      <c r="H1128" t="inlineStr">
        <is>
          <t>MOVIMENTAÇÃO DE PASSAGEIROS CRESCE 11,4% NO AEROPORTO DE BOA VISTA EM 2019, DIZ INFRAERO</t>
        </is>
      </c>
      <c r="I1128" t="inlineStr">
        <is>
          <t>TERMINAL TEVE FLUXO DE 35,1 MIL VIAJANTES A MAIS DO QUE EM 2018. MIGRAÇÃO VENEZUELANA E HAITIANA AJUDARAM A ELEVAR MOVIMENTO.</t>
        </is>
      </c>
      <c r="J1128">
        <f>HYPERLINK("https://g1.globo.com/rr/roraima/noticia/2020/01/17/movimentacao-de-passageiros-cresce-114percent-no-aeroporto-de-boa-vista-em-2019-diz-infraero.ghtml", "URL")</f>
        <v/>
      </c>
      <c r="K1128">
        <f>HYPERLINK("https://raw.githubusercontent.com/marcosmapl/dataset_imigrantes/main/noticias_filtered/g1/ambos/2020/00_jan/html/g1_fa0fd4f2-2326-11ed-b24f-6dbe51e79fca_4010.html", "HTML")</f>
        <v/>
      </c>
      <c r="L1128">
        <f>HYPERLINK("https://raw.githubusercontent.com/marcosmapl/dataset_imigrantes/main/noticias_filtered/g1/ambos/2020/00_jan/txt/g1_fa0fd4f2-2326-11ed-b24f-6dbe51e79fca_4010.txt", "TXT")</f>
        <v/>
      </c>
    </row>
    <row r="1129">
      <c r="A1129" s="1" t="n">
        <v>1127</v>
      </c>
      <c r="B1129" t="n">
        <v>2020</v>
      </c>
      <c r="C1129" s="2" t="n">
        <v>43847.58989003472</v>
      </c>
      <c r="D1129" t="inlineStr">
        <is>
          <t>G1</t>
        </is>
      </c>
      <c r="E1129" t="inlineStr">
        <is>
          <t>VENEZUELANOS</t>
        </is>
      </c>
      <c r="F1129" t="inlineStr">
        <is>
          <t>RIO GRANDE DO SUL</t>
        </is>
      </c>
      <c r="G1129" t="inlineStr">
        <is>
          <t>G1 RS</t>
        </is>
      </c>
      <c r="H1129" t="inlineStr">
        <is>
          <t>HOMEM SUSPEITO DE MATAR VENEZUELANA COM ÁCIDO ASPIRÁVEL É DENUNCIADO EM CAXIAS DO SUL</t>
        </is>
      </c>
      <c r="I1129" t="inlineStr">
        <is>
          <t>ARIANA VICTORIA GODOY FIGUERA MORREU APÓS SER ATINGIDA ÁCIDO FLUORÍDRICO. PROMOTOR DE JUSTIÇA AFIRMA QUE O CRIME "FOI COMETIDO CONTRA A MULHER, POR RAZÕES DA CONDIÇÃO DE SEXO FEMININO."</t>
        </is>
      </c>
      <c r="J1129">
        <f>HYPERLINK("https://g1.globo.com/rs/rio-grande-do-sul/noticia/2020/01/17/homem-suspeito-de-matar-venezuelana-com-acido-e-denunciado-em-caxias-do-sul.ghtml", "URL")</f>
        <v/>
      </c>
      <c r="K1129">
        <f>HYPERLINK("https://raw.githubusercontent.com/marcosmapl/dataset_imigrantes/main/noticias_filtered/g1/venezuelanos/2020/00_jan/html/g1_4fdfe80e-2327-11ed-b24f-6dbe51e79fca_4027.html", "HTML")</f>
        <v/>
      </c>
      <c r="L1129">
        <f>HYPERLINK("https://raw.githubusercontent.com/marcosmapl/dataset_imigrantes/main/noticias_filtered/g1/venezuelanos/2020/00_jan/txt/g1_4fdfe80e-2327-11ed-b24f-6dbe51e79fca_4027.txt", "TXT")</f>
        <v/>
      </c>
    </row>
    <row r="1130">
      <c r="A1130" s="1" t="n">
        <v>1128</v>
      </c>
      <c r="B1130" t="n">
        <v>2020</v>
      </c>
      <c r="C1130" s="2" t="n">
        <v>43846.98107114583</v>
      </c>
      <c r="D1130" t="inlineStr">
        <is>
          <t>G1</t>
        </is>
      </c>
      <c r="E1130" t="inlineStr">
        <is>
          <t>VENEZUELANOS</t>
        </is>
      </c>
      <c r="F1130" t="inlineStr">
        <is>
          <t>POLÍTICA</t>
        </is>
      </c>
      <c r="G1130" t="inlineStr">
        <is>
          <t>GUSTAVO GARCIA E RONIARA CASTILHOS, G1 E TV GLOBO — BRASÍLIA</t>
        </is>
      </c>
      <c r="H1130" t="inlineStr">
        <is>
          <t>GOVERNO LANÇA PLATAFORMA PARA RECEBER DOAÇÕES PRIVADAS AO ACOLHIMENTO DE VENEZUELANOS</t>
        </is>
      </c>
      <c r="I1130" t="inlineStr">
        <is>
          <t>LANÇAMENTO FOI FEITO DURANTE CERIMÔNIA DE TROCA DE COMANDO DA OPERAÇÃO ACOLHIDA EM BRASÍLIA. FUNDO SERÁ GERENCIADO PELA FUNDAÇÃO BANCO DO BRASIL.</t>
        </is>
      </c>
      <c r="J1130">
        <f>HYPERLINK("https://g1.globo.com/politica/noticia/2020/01/16/governo-lanca-plataforma-para-receber-doacoes-privadas-ao-acolhimento-de-venezuelanos.ghtml", "URL")</f>
        <v/>
      </c>
      <c r="K1130">
        <f>HYPERLINK("https://raw.githubusercontent.com/marcosmapl/dataset_imigrantes/main/noticias_filtered/g1/venezuelanos/2020/00_jan/html/g1_cec4c874-2309-11ed-b24f-6dbe51e79fca_2465.html", "HTML")</f>
        <v/>
      </c>
      <c r="L1130">
        <f>HYPERLINK("https://raw.githubusercontent.com/marcosmapl/dataset_imigrantes/main/noticias_filtered/g1/venezuelanos/2020/00_jan/txt/g1_cec4c874-2309-11ed-b24f-6dbe51e79fca_2465.txt", "TXT")</f>
        <v/>
      </c>
    </row>
    <row r="1131">
      <c r="A1131" s="1" t="n">
        <v>1129</v>
      </c>
      <c r="B1131" t="n">
        <v>2020</v>
      </c>
      <c r="C1131" s="2" t="n">
        <v>43846.8800462963</v>
      </c>
      <c r="D1131" t="inlineStr">
        <is>
          <t>A CRITICA</t>
        </is>
      </c>
      <c r="E1131" t="inlineStr">
        <is>
          <t>VENEZUELANOS</t>
        </is>
      </c>
      <c r="F1131" t="inlineStr"/>
      <c r="G1131" t="inlineStr">
        <is>
          <t>PORTAL A CRÍTICA</t>
        </is>
      </c>
      <c r="H1131" t="inlineStr">
        <is>
          <t>SECRETARIA DE ASSISTÊNCIA SOCIAL PLANEJA REFORÇO NA REDE ATENDIMENTO EM 2020</t>
        </is>
      </c>
      <c r="I1131" t="inlineStr">
        <is>
          <t>ENTRE OS PONTOS POSITIVOS DO BALANÇO APRESENTADO PELA PASTA ESTÁ A RETOMADA DOS REPASSES ESTADUAIS AO SISTEMA ÚNICO DE ASSISTÊNCIA SOCIAL</t>
        </is>
      </c>
      <c r="J1131">
        <f>HYPERLINK("https://www.acritica.com/secretaria-de-assistencia-social-planeja-reforco-na-rede-atendimento-em-2020-1.51707", "URL")</f>
        <v/>
      </c>
      <c r="K1131">
        <f>HYPERLINK("https://raw.githubusercontent.com/marcosmapl/dataset_imigrantes/main/noticias_filtered/a_critica/venezuelanos/2020/00_jan/html/1.51707_907.html", "HTML")</f>
        <v/>
      </c>
      <c r="L1131">
        <f>HYPERLINK("https://raw.githubusercontent.com/marcosmapl/dataset_imigrantes/main/noticias_filtered/a_critica/venezuelanos/2020/00_jan/txt/1.51707_907.txt", "TXT")</f>
        <v/>
      </c>
    </row>
    <row r="1132">
      <c r="A1132" s="1" t="n">
        <v>1130</v>
      </c>
      <c r="B1132" t="n">
        <v>2020</v>
      </c>
      <c r="C1132" s="2" t="n">
        <v>43846.63317628473</v>
      </c>
      <c r="D1132" t="inlineStr">
        <is>
          <t>G1</t>
        </is>
      </c>
      <c r="E1132" t="inlineStr">
        <is>
          <t>VENEZUELANOS</t>
        </is>
      </c>
      <c r="F1132" t="inlineStr">
        <is>
          <t>RORAIMA</t>
        </is>
      </c>
      <c r="G1132" t="inlineStr">
        <is>
          <t>EMILY COSTA, G1 RR — BOA VISTA</t>
        </is>
      </c>
      <c r="H1132" t="inlineStr">
        <is>
          <t>NOVO GENERAL DO EXÉRCITO ASSUME ACOLHIDA A VENEZUELANOS EM RR</t>
        </is>
      </c>
      <c r="I1132" t="inlineStr">
        <is>
          <t>MISSÃO HUMANITÁRIA ATENDE REFUGIADOS NA FRONTEIRA, CUIDA DE ABRIGOS E REDISTRIBUI OS VENEZUELANOS A OUTROS ESTADOS DO PAÍS. CERIMÔNIA DE POSSE SERÁ NESTA QUINTA (16) EM BRASÍLIA.</t>
        </is>
      </c>
      <c r="J1132">
        <f>HYPERLINK("https://g1.globo.com/rr/roraima/noticia/2020/01/16/novo-general-do-exercito-assume-acolhida-a-venezuelanos-em-rr.ghtml", "URL")</f>
        <v/>
      </c>
      <c r="K1132">
        <f>HYPERLINK("https://raw.githubusercontent.com/marcosmapl/dataset_imigrantes/main/noticias_filtered/g1/venezuelanos/2020/00_jan/html/g1_678e72aa-232b-11ed-b24f-6dbe51e79fca_4243.html", "HTML")</f>
        <v/>
      </c>
      <c r="L1132">
        <f>HYPERLINK("https://raw.githubusercontent.com/marcosmapl/dataset_imigrantes/main/noticias_filtered/g1/venezuelanos/2020/00_jan/txt/g1_678e72aa-232b-11ed-b24f-6dbe51e79fca_4243.txt", "TXT")</f>
        <v/>
      </c>
    </row>
    <row r="1133">
      <c r="A1133" s="1" t="n">
        <v>1131</v>
      </c>
      <c r="B1133" t="n">
        <v>2020</v>
      </c>
      <c r="C1133" s="2" t="n">
        <v>43845.92291666667</v>
      </c>
      <c r="D1133" t="inlineStr">
        <is>
          <t>A CRITICA</t>
        </is>
      </c>
      <c r="E1133" t="inlineStr">
        <is>
          <t>VENEZUELANOS</t>
        </is>
      </c>
      <c r="F1133" t="inlineStr">
        <is>
          <t>MANAUS</t>
        </is>
      </c>
      <c r="G1133" t="inlineStr">
        <is>
          <t>GABRIEL VERAS</t>
        </is>
      </c>
      <c r="H1133" t="inlineStr">
        <is>
          <t>LIAM NEESON CONHECE BARBEARIA DE MIGRANTES VENEZUELANOS DURANTE VISITA A MANAUS</t>
        </is>
      </c>
      <c r="I1133" t="inlineStr">
        <is>
          <t>A PASSAGEM DO ATOR INTERNACIONAL E EMBAIXADOR DA UNICEF PELA CAPITAL AMAZONENSE FOI A ÚLTIMA PARADA DE UMA VISITA DE QUATRO DIAS À REGIÃO DA FRONTEIRA BRASILEIRA COM A VENEZUELA</t>
        </is>
      </c>
      <c r="J1133">
        <f>HYPERLINK("https://www.acritica.com/manaus/liam-neeson-conhece-barbearia-de-migrantes-venezuelanos-durante-visita-a-manaus-1.50509", "URL")</f>
        <v/>
      </c>
      <c r="K1133">
        <f>HYPERLINK("https://raw.githubusercontent.com/marcosmapl/dataset_imigrantes/main/noticias_filtered/a_critica/venezuelanos/2020/00_jan/html/1.50509_995.html", "HTML")</f>
        <v/>
      </c>
      <c r="L1133">
        <f>HYPERLINK("https://raw.githubusercontent.com/marcosmapl/dataset_imigrantes/main/noticias_filtered/a_critica/venezuelanos/2020/00_jan/txt/1.50509_995.txt", "TXT")</f>
        <v/>
      </c>
    </row>
    <row r="1134">
      <c r="A1134" s="1" t="n">
        <v>1132</v>
      </c>
      <c r="B1134" t="n">
        <v>2020</v>
      </c>
      <c r="C1134" s="2" t="n">
        <v>43845.67288194445</v>
      </c>
      <c r="D1134" t="inlineStr">
        <is>
          <t>A CRITICA</t>
        </is>
      </c>
      <c r="E1134" t="inlineStr">
        <is>
          <t>VENEZUELANOS</t>
        </is>
      </c>
      <c r="F1134" t="inlineStr">
        <is>
          <t>MANAUS</t>
        </is>
      </c>
      <c r="G1134" t="inlineStr">
        <is>
          <t>PORTAL A CRÍTICA</t>
        </is>
      </c>
      <c r="H1134" t="inlineStr">
        <is>
          <t>ONG ARRECADA DOAÇÕES PARA IMIGRANTES VENEZUELANOS EM MANAUS</t>
        </is>
      </c>
      <c r="I1134" t="inlineStr">
        <is>
          <t>OUPAS E SAPATOS, FRALDAS PARA BEBÊS, ROUPA DE CAMA, MESA E BANHO, UTENSÍLIOS DOMÉSTICOS, MÓVEIS, BRINQUEDOS E OUTROS PRODUTOS PODEM SER DOADOS</t>
        </is>
      </c>
      <c r="J1134">
        <f>HYPERLINK("https://www.acritica.com/manaus/ong-arrecada-doac-es-para-imigrantes-venezuelanos-em-manaus-1.50529", "URL")</f>
        <v/>
      </c>
      <c r="K1134">
        <f>HYPERLINK("https://raw.githubusercontent.com/marcosmapl/dataset_imigrantes/main/noticias_filtered/a_critica/venezuelanos/2020/00_jan/html/1.50529_327.html", "HTML")</f>
        <v/>
      </c>
      <c r="L1134">
        <f>HYPERLINK("https://raw.githubusercontent.com/marcosmapl/dataset_imigrantes/main/noticias_filtered/a_critica/venezuelanos/2020/00_jan/txt/1.50529_327.txt", "TXT")</f>
        <v/>
      </c>
    </row>
    <row r="1135">
      <c r="A1135" s="1" t="n">
        <v>1133</v>
      </c>
      <c r="B1135" t="n">
        <v>2020</v>
      </c>
      <c r="C1135" s="2" t="n">
        <v>43845.54824496528</v>
      </c>
      <c r="D1135" t="inlineStr">
        <is>
          <t>G1</t>
        </is>
      </c>
      <c r="E1135" t="inlineStr">
        <is>
          <t>VENEZUELANOS</t>
        </is>
      </c>
      <c r="F1135" t="inlineStr">
        <is>
          <t>MARANHÃO</t>
        </is>
      </c>
      <c r="G1135" t="inlineStr">
        <is>
          <t>G1 MA — SÃO LUÍS</t>
        </is>
      </c>
      <c r="H1135" t="inlineStr">
        <is>
          <t>30 PEDIDOS DE REFÚGIO DE VENEZUELANOS AGUARDAM RESPOSTA NO MA, DIZ DPU</t>
        </is>
      </c>
      <c r="I1135" t="inlineStr">
        <is>
          <t>ALÉM DE SÃO LUÍS, HÁ PRESENÇA DE VENEZUELANOS NOS MUNICÍPIOS DE PINHEIRO, IMPERATRIZ, AÇAILÂNDIA, BALSAS, ESTREITO, SANTA INÊS E BOM JARDIM.</t>
        </is>
      </c>
      <c r="J1135">
        <f>HYPERLINK("https://g1.globo.com/ma/maranhao/noticia/2020/01/15/30-pedidos-de-refugio-de-venezuelanos-aguardam-resposta-no-ma-diz-dpu.ghtml", "URL")</f>
        <v/>
      </c>
      <c r="K1135">
        <f>HYPERLINK("https://raw.githubusercontent.com/marcosmapl/dataset_imigrantes/main/noticias_filtered/g1/venezuelanos/2020/00_jan/html/g1_046612b4-2321-11ed-b24f-6dbe51e79fca_3676.html", "HTML")</f>
        <v/>
      </c>
      <c r="L1135">
        <f>HYPERLINK("https://raw.githubusercontent.com/marcosmapl/dataset_imigrantes/main/noticias_filtered/g1/venezuelanos/2020/00_jan/txt/g1_046612b4-2321-11ed-b24f-6dbe51e79fca_3676.txt", "TXT")</f>
        <v/>
      </c>
    </row>
    <row r="1136">
      <c r="A1136" s="1" t="n">
        <v>1134</v>
      </c>
      <c r="B1136" t="n">
        <v>2020</v>
      </c>
      <c r="C1136" s="2" t="n">
        <v>43844.91458333333</v>
      </c>
      <c r="D1136" t="inlineStr">
        <is>
          <t>A CRITICA</t>
        </is>
      </c>
      <c r="E1136" t="inlineStr">
        <is>
          <t>VENEZUELANOS</t>
        </is>
      </c>
      <c r="F1136" t="inlineStr">
        <is>
          <t>ESPORTES</t>
        </is>
      </c>
      <c r="G1136" t="inlineStr">
        <is>
          <t>LEONARDO SENA</t>
        </is>
      </c>
      <c r="H1136" t="inlineStr">
        <is>
          <t>3B SPORT ACERTA CONTRATAÇÃO DE ZAGUEIRA DA SELEÇÃO VENEZUELANA PETRA CABRERA</t>
        </is>
      </c>
      <c r="I1136" t="inlineStr">
        <is>
          <t>DEFENSORA SE JUNTA ÀS CONTERRÂNEAS YESSICA VELÁSQUEZ, DAYANA RODRIGUEZ, NATASHA ROSAS, CINTHIA ZARABIA E HILARY VERGARA, QUE DEVE RENOVAR COM O TIME NOS PRÓXIMOS DIAS</t>
        </is>
      </c>
      <c r="J1136">
        <f>HYPERLINK("https://www.acritica.com/esportes/3b-sport-acerta-contratac-o-de-zagueira-da-selec-o-venezuelana-petra-cabrera-1.50570", "URL")</f>
        <v/>
      </c>
      <c r="K1136">
        <f>HYPERLINK("https://raw.githubusercontent.com/marcosmapl/dataset_imigrantes/main/noticias_filtered/a_critica/venezuelanos/2020/00_jan/html/1.50570_1270.html", "HTML")</f>
        <v/>
      </c>
      <c r="L1136">
        <f>HYPERLINK("https://raw.githubusercontent.com/marcosmapl/dataset_imigrantes/main/noticias_filtered/a_critica/venezuelanos/2020/00_jan/txt/1.50570_1270.txt", "TXT")</f>
        <v/>
      </c>
    </row>
    <row r="1137">
      <c r="A1137" s="1" t="n">
        <v>1135</v>
      </c>
      <c r="B1137" t="n">
        <v>2020</v>
      </c>
      <c r="C1137" s="2" t="n">
        <v>43843.82438543982</v>
      </c>
      <c r="D1137" t="inlineStr">
        <is>
          <t>G1</t>
        </is>
      </c>
      <c r="E1137" t="inlineStr">
        <is>
          <t>VENEZUELANOS</t>
        </is>
      </c>
      <c r="F1137" t="inlineStr">
        <is>
          <t>MUNDO</t>
        </is>
      </c>
      <c r="G1137" t="inlineStr">
        <is>
          <t>FRANCE PRESSE</t>
        </is>
      </c>
      <c r="H1137" t="inlineStr">
        <is>
          <t>EUA APLICAM SANÇÕES A 7 DEPUTADOS VENEZUELANOS, INCLUSIVE LUIS PARRA</t>
        </is>
      </c>
      <c r="I1137" t="inlineStr">
        <is>
          <t>GOVERNO NORTE-AMERICANO APLICA MEDIDAS EM RETALIAÇÃO A TENTATIVA DE APOIADORES DE NICOLÁS MADURO EM OBSTRUIR A VOTAÇÃO QUE RECONDUZIU JUAN GUAIDÓ À PRESIDÊNCIA DA ASSEMBLEIA NACIONAL, O LEGISLATIVO DA VENEZUELA.</t>
        </is>
      </c>
      <c r="J1137">
        <f>HYPERLINK("https://g1.globo.com/mundo/noticia/2020/01/13/eua-aplicam-sancoes-a-7-deputados-venezuelanos-inclusive-luis-parra.ghtml", "URL")</f>
        <v/>
      </c>
      <c r="K1137">
        <f>HYPERLINK("https://raw.githubusercontent.com/marcosmapl/dataset_imigrantes/main/noticias_filtered/g1/venezuelanos/2020/00_jan/html/g1_e225cda2-2307-11ed-b24f-6dbe51e79fca_2349.html", "HTML")</f>
        <v/>
      </c>
      <c r="L1137">
        <f>HYPERLINK("https://raw.githubusercontent.com/marcosmapl/dataset_imigrantes/main/noticias_filtered/g1/venezuelanos/2020/00_jan/txt/g1_e225cda2-2307-11ed-b24f-6dbe51e79fca_2349.txt", "TXT")</f>
        <v/>
      </c>
    </row>
    <row r="1138">
      <c r="A1138" s="1" t="n">
        <v>1136</v>
      </c>
      <c r="B1138" t="n">
        <v>2020</v>
      </c>
      <c r="C1138" s="2" t="n">
        <v>43843.50626157408</v>
      </c>
      <c r="D1138" t="inlineStr">
        <is>
          <t>A CRITICA</t>
        </is>
      </c>
      <c r="E1138" t="inlineStr">
        <is>
          <t>HAITIANOS</t>
        </is>
      </c>
      <c r="F1138" t="inlineStr">
        <is>
          <t>MANAUS</t>
        </is>
      </c>
      <c r="G1138" t="inlineStr">
        <is>
          <t>IZABEL GUEDES</t>
        </is>
      </c>
      <c r="H1138" t="inlineStr">
        <is>
          <t>'PENSEI QUE ERA O FIM DO MUNDO', DIZ HAITIANO AO RELEMBRAR 10 ANOS DO TERREMOTO</t>
        </is>
      </c>
      <c r="I1138" t="inlineStr">
        <is>
          <t>JEAN RONALD, 32, PERDEU A NOIVA NA TRAGÉDIA E VEIO PARA MANAUS EM BUSCA DE OPORTUNIDADE. AQUI LAVOU PRATOS EM RESTAURANTES, FOI VENDEDOR, DEU AULA DE IDIOMAS E HOJE, DONO DO SEU PRÓPRIO NEGÓCIO, CONSEGUIU TRAZER A FAMÍLIA E NÃO PENSA EM VOLTAR PARA O PAÍS DE ORIGEM</t>
        </is>
      </c>
      <c r="J1138">
        <f>HYPERLINK("https://www.acritica.com/manaus/pensei-que-era-o-fim-do-mundo-diz-haitiano-ao-relembrar-10-anos-do-terremoto-1.51105", "URL")</f>
        <v/>
      </c>
      <c r="K1138">
        <f>HYPERLINK("https://raw.githubusercontent.com/marcosmapl/dataset_imigrantes/main/noticias_filtered/a_critica/haitianos/2020/00_jan/html/1.51105_59.html", "HTML")</f>
        <v/>
      </c>
      <c r="L1138">
        <f>HYPERLINK("https://raw.githubusercontent.com/marcosmapl/dataset_imigrantes/main/noticias_filtered/a_critica/haitianos/2020/00_jan/txt/1.51105_59.txt", "TXT")</f>
        <v/>
      </c>
    </row>
    <row r="1139">
      <c r="A1139" s="1" t="n">
        <v>1137</v>
      </c>
      <c r="B1139" t="n">
        <v>2020</v>
      </c>
      <c r="C1139" s="2" t="n">
        <v>43843.49126914352</v>
      </c>
      <c r="D1139" t="inlineStr">
        <is>
          <t>G1</t>
        </is>
      </c>
      <c r="E1139" t="inlineStr">
        <is>
          <t>VENEZUELANOS</t>
        </is>
      </c>
      <c r="F1139" t="inlineStr">
        <is>
          <t>MUNDO</t>
        </is>
      </c>
      <c r="G1139" t="inlineStr">
        <is>
          <t>G1</t>
        </is>
      </c>
      <c r="H1139" t="inlineStr">
        <is>
          <t>POLÍCIA PRENDE MAIS DE 100 PESSOAS EM HOTEL DE BALNEÁRIO NO PERU</t>
        </is>
      </c>
      <c r="I1139" t="inlineStr">
        <is>
          <t>MAIORIA DOS SUSPEITOS PRESOS EM PUNTA NEGRA, AO SUL DE LIMA, ERA VENEZUELANA.</t>
        </is>
      </c>
      <c r="J1139">
        <f>HYPERLINK("https://g1.globo.com/mundo/noticia/2020/01/13/policia-prende-mais-de-100-pessoas-em-hotel-de-balneario-no-peru.ghtml", "URL")</f>
        <v/>
      </c>
      <c r="K1139">
        <f>HYPERLINK("https://raw.githubusercontent.com/marcosmapl/dataset_imigrantes/main/noticias_filtered/g1/venezuelanos/2020/00_jan/html/g1_e6f37464-231c-11ed-b24f-6dbe51e79fca_3472.html", "HTML")</f>
        <v/>
      </c>
      <c r="L1139">
        <f>HYPERLINK("https://raw.githubusercontent.com/marcosmapl/dataset_imigrantes/main/noticias_filtered/g1/venezuelanos/2020/00_jan/txt/g1_e6f37464-231c-11ed-b24f-6dbe51e79fca_3472.txt", "TXT")</f>
        <v/>
      </c>
    </row>
    <row r="1140">
      <c r="A1140" s="1" t="n">
        <v>1138</v>
      </c>
      <c r="B1140" t="n">
        <v>2020</v>
      </c>
      <c r="C1140" s="2" t="n">
        <v>43843.48909722222</v>
      </c>
      <c r="D1140" t="inlineStr">
        <is>
          <t>A CRITICA</t>
        </is>
      </c>
      <c r="E1140" t="inlineStr">
        <is>
          <t>AMBOS</t>
        </is>
      </c>
      <c r="F1140" t="inlineStr">
        <is>
          <t>OPINIAO</t>
        </is>
      </c>
      <c r="G1140" t="inlineStr"/>
      <c r="H1140" t="inlineStr">
        <is>
          <t>DEZ ANOS NA TRAGÉDIA</t>
        </is>
      </c>
      <c r="I1140" t="inlineStr"/>
      <c r="J1140">
        <f>HYPERLINK("https://www.acritica.com/opiniao/dez-anos-na-tragedia-1.228406", "URL")</f>
        <v/>
      </c>
      <c r="K1140">
        <f>HYPERLINK("https://raw.githubusercontent.com/marcosmapl/dataset_imigrantes/main/noticias_filtered/a_critica/ambos/2020/00_jan/html/1.228406_564.html", "HTML")</f>
        <v/>
      </c>
      <c r="L1140">
        <f>HYPERLINK("https://raw.githubusercontent.com/marcosmapl/dataset_imigrantes/main/noticias_filtered/a_critica/ambos/2020/00_jan/txt/1.228406_564.txt", "TXT")</f>
        <v/>
      </c>
    </row>
    <row r="1141">
      <c r="A1141" s="1" t="n">
        <v>1139</v>
      </c>
      <c r="B1141" t="n">
        <v>2020</v>
      </c>
      <c r="C1141" s="2" t="n">
        <v>43842.48636141204</v>
      </c>
      <c r="D1141" t="inlineStr">
        <is>
          <t>G1</t>
        </is>
      </c>
      <c r="E1141" t="inlineStr">
        <is>
          <t>VENEZUELANOS</t>
        </is>
      </c>
      <c r="F1141" t="inlineStr">
        <is>
          <t>MATO GROSSO</t>
        </is>
      </c>
      <c r="G1141" t="inlineStr">
        <is>
          <t>G1 MT</t>
        </is>
      </c>
      <c r="H1141" t="inlineStr">
        <is>
          <t>VENEZUELANOS INDÍGENAS ACAMPAM PERTO DE RODOVIÁRIA DE CUIABÁ E SE RECUSAM A IR PARA PASTORAL DO MIGRANTE, DIZ PREFEITURA</t>
        </is>
      </c>
      <c r="I1141" t="inlineStr">
        <is>
          <t>OS VENEZUELANOS SÃO DE ORIGEM INDÍGENA E ALEGAM SOFRER PRECONCEITO POR PARTE DOS OUTROS IMIGRANTES.</t>
        </is>
      </c>
      <c r="J1141">
        <f>HYPERLINK("https://g1.globo.com/mt/mato-grosso/noticia/2020/01/12/venezuelanos-indigenas-acampam-perto-de-rodoviaria-de-cuiaba-e-se-recusam-a-ir-para-pastoral-do-migrante-diz-prefeitura.ghtml", "URL")</f>
        <v/>
      </c>
      <c r="K1141">
        <f>HYPERLINK("https://raw.githubusercontent.com/marcosmapl/dataset_imigrantes/main/noticias_filtered/g1/venezuelanos/2020/00_jan/html/g1_abd35087-5e21-4e40-905e-d6bb350d9519_1624.html", "HTML")</f>
        <v/>
      </c>
      <c r="L1141">
        <f>HYPERLINK("https://raw.githubusercontent.com/marcosmapl/dataset_imigrantes/main/noticias_filtered/g1/venezuelanos/2020/00_jan/txt/g1_abd35087-5e21-4e40-905e-d6bb350d9519_1624.txt", "TXT")</f>
        <v/>
      </c>
    </row>
    <row r="1142">
      <c r="A1142" s="1" t="n">
        <v>1140</v>
      </c>
      <c r="B1142" t="n">
        <v>2020</v>
      </c>
      <c r="C1142" s="2" t="n">
        <v>43842.48636141204</v>
      </c>
      <c r="D1142" t="inlineStr">
        <is>
          <t>G1</t>
        </is>
      </c>
      <c r="E1142" t="inlineStr">
        <is>
          <t>VENEZUELANOS</t>
        </is>
      </c>
      <c r="F1142" t="inlineStr">
        <is>
          <t>MATO GROSSO</t>
        </is>
      </c>
      <c r="G1142" t="inlineStr">
        <is>
          <t>G1 MT</t>
        </is>
      </c>
      <c r="H1142" t="inlineStr">
        <is>
          <t>VENEZUELANOS INDÍGENAS ACAMPAM PERTO DE RODOVIÁRIA DE CUIABÁ E SE RECUSAM A IR PARA PASTORAL DO MIGRANTE, DIZ PREFEITURA</t>
        </is>
      </c>
      <c r="I1142" t="inlineStr">
        <is>
          <t>OS VENEZUELANOS SÃO DE ORIGEM INDÍGENA E ALEGAM SOFRER PRECONCEITO POR PARTE DOS OUTROS IMIGRANTES.</t>
        </is>
      </c>
      <c r="J1142">
        <f>HYPERLINK("https://g1.globo.com/mt/mato-grosso/noticia/2020/01/12/venezuelanos-indigenas-acampam-perto-de-rodoviaria-de-cuiaba-e-se-recusam-a-ir-para-pastoral-do-migrante-diz-prefeitura.ghtml", "URL")</f>
        <v/>
      </c>
      <c r="K1142">
        <f>HYPERLINK("https://raw.githubusercontent.com/marcosmapl/dataset_imigrantes/main/noticias_filtered/g1/venezuelanos/2020/00_jan/html/g1_e45dd36a-2327-11ed-b24f-6dbe51e79fca_4054.html", "HTML")</f>
        <v/>
      </c>
      <c r="L1142">
        <f>HYPERLINK("https://raw.githubusercontent.com/marcosmapl/dataset_imigrantes/main/noticias_filtered/g1/venezuelanos/2020/00_jan/txt/g1_e45dd36a-2327-11ed-b24f-6dbe51e79fca_4054.txt", "TXT")</f>
        <v/>
      </c>
    </row>
    <row r="1143">
      <c r="A1143" s="1" t="n">
        <v>1141</v>
      </c>
      <c r="B1143" t="n">
        <v>2020</v>
      </c>
      <c r="C1143" s="2" t="n">
        <v>43841.84427659722</v>
      </c>
      <c r="D1143" t="inlineStr">
        <is>
          <t>G1</t>
        </is>
      </c>
      <c r="E1143" t="inlineStr">
        <is>
          <t>VENEZUELANOS</t>
        </is>
      </c>
      <c r="F1143" t="inlineStr">
        <is>
          <t>PARÁ</t>
        </is>
      </c>
      <c r="G1143" t="inlineStr">
        <is>
          <t>G1 PA — BELÉM</t>
        </is>
      </c>
      <c r="H1143" t="inlineStr">
        <is>
          <t>INDÍGENA VENEZUELANA MORRE COM SUSPEITA DE TUBERCULOSE NA UNIDADE DE SAÚDE DO TAPANÃ, EM BELÉM</t>
        </is>
      </c>
      <c r="I1143" t="inlineStr">
        <is>
          <t>ELA TERIA IDO AO POSTO POR VOLTA DAS 2H30 BUSCAR ATENDIMENTO, QUANDO SOFREU UMA PARADA CARDIORRESPIRATÓRIA.</t>
        </is>
      </c>
      <c r="J1143">
        <f>HYPERLINK("https://g1.globo.com/pa/para/noticia/2020/01/11/indigena-venezuelana-morre-com-suspeita-de-tuberculose-na-unidade-de-saude-do-tapana-em-belem.ghtml", "URL")</f>
        <v/>
      </c>
      <c r="K1143">
        <f>HYPERLINK("https://raw.githubusercontent.com/marcosmapl/dataset_imigrantes/main/noticias_filtered/g1/venezuelanos/2020/00_jan/html/g1_4099c222-2311-11ed-b24f-6dbe51e79fca_2907.html", "HTML")</f>
        <v/>
      </c>
      <c r="L1143">
        <f>HYPERLINK("https://raw.githubusercontent.com/marcosmapl/dataset_imigrantes/main/noticias_filtered/g1/venezuelanos/2020/00_jan/txt/g1_4099c222-2311-11ed-b24f-6dbe51e79fca_2907.txt", "TXT")</f>
        <v/>
      </c>
    </row>
    <row r="1144">
      <c r="A1144" s="1" t="n">
        <v>1142</v>
      </c>
      <c r="B1144" t="n">
        <v>2020</v>
      </c>
      <c r="C1144" s="2" t="n">
        <v>43841.71325313657</v>
      </c>
      <c r="D1144" t="inlineStr">
        <is>
          <t>G1</t>
        </is>
      </c>
      <c r="E1144" t="inlineStr">
        <is>
          <t>HAITIANOS</t>
        </is>
      </c>
      <c r="F1144" t="inlineStr">
        <is>
          <t>SÃO PAULO</t>
        </is>
      </c>
      <c r="G1144" t="inlineStr">
        <is>
          <t>FABRICIO LOBEL E RENATA RIBEIRO, TV GLOBO</t>
        </is>
      </c>
      <c r="H1144" t="inlineStr">
        <is>
          <t>DEZ ANOS APÓS TERREMOTO QUE DEVASTOU O PAÍS, HAITIANOS RECONSTROEM A VIDA EM SP</t>
        </is>
      </c>
      <c r="I1144" t="inlineStr">
        <is>
          <t>MAIS DE 107 MIL HAITIANOS MIGRARAM AO BRASIL, NA SEGUNDA MAIOR ONDA MIGRATÓRIA AO PAÍS DESDE 2010. A MAIORIA ESCOLHEU O ESTADO DE SÃO PAULO PARA RECONSTRUIR SUAS VIDAS.</t>
        </is>
      </c>
      <c r="J1144">
        <f>HYPERLINK("https://g1.globo.com/sp/sao-paulo/noticia/2020/01/11/dez-anos-apos-terremoto-que-devastou-o-pais-haitianos-reconstroem-a-vida-em-sp.ghtml", "URL")</f>
        <v/>
      </c>
      <c r="K1144">
        <f>HYPERLINK("https://raw.githubusercontent.com/marcosmapl/dataset_imigrantes/main/noticias_filtered/g1/haitianos/2020/00_jan/html/g1_a44d0df8-22f6-11ed-b24f-6dbe51e79fca_2026.html", "HTML")</f>
        <v/>
      </c>
      <c r="L1144">
        <f>HYPERLINK("https://raw.githubusercontent.com/marcosmapl/dataset_imigrantes/main/noticias_filtered/g1/haitianos/2020/00_jan/txt/g1_a44d0df8-22f6-11ed-b24f-6dbe51e79fca_2026.txt", "TXT")</f>
        <v/>
      </c>
    </row>
    <row r="1145">
      <c r="A1145" s="1" t="n">
        <v>1143</v>
      </c>
      <c r="B1145" t="n">
        <v>2020</v>
      </c>
      <c r="C1145" s="2" t="n">
        <v>43841.07289444444</v>
      </c>
      <c r="D1145" t="inlineStr">
        <is>
          <t>G1</t>
        </is>
      </c>
      <c r="E1145" t="inlineStr">
        <is>
          <t>HAITIANOS</t>
        </is>
      </c>
      <c r="F1145" t="inlineStr">
        <is>
          <t>SANTA CATARINA</t>
        </is>
      </c>
      <c r="G1145" t="inlineStr">
        <is>
          <t>NSC TV E G1 SC</t>
        </is>
      </c>
      <c r="H1145" t="inlineStr">
        <is>
          <t>UM MÊS APÓS ACIDENTE NA BR-282, CORPOS DE DUAS HAITIANAS SEGUEM NO IML DE CHAPECÓ, SC</t>
        </is>
      </c>
      <c r="I1145" t="inlineStr">
        <is>
          <t>SEGUNDO IGP, NINGUÉM DA FAMÍLIA OU REPRESENTANTE LEGAL FOI AO INSTITUTO COM DOCUMENTAÇÃO NECESSÁRIA. ACIDENTE QUE MATOU 4 PESSOAS OCORREU EM PINHALZINHO.</t>
        </is>
      </c>
      <c r="J1145">
        <f>HYPERLINK("https://g1.globo.com/sc/santa-catarina/noticia/2020/01/10/um-mes-apos-acidente-na-br-282-corpos-de-duas-haitianas-seguem-no-iml-de-chapeco-sc.ghtml", "URL")</f>
        <v/>
      </c>
      <c r="K1145">
        <f>HYPERLINK("https://raw.githubusercontent.com/marcosmapl/dataset_imigrantes/main/noticias_filtered/g1/haitianos/2020/00_jan/html/g1_a37db786-2307-11ed-b24f-6dbe51e79fca_2332.html", "HTML")</f>
        <v/>
      </c>
      <c r="L1145">
        <f>HYPERLINK("https://raw.githubusercontent.com/marcosmapl/dataset_imigrantes/main/noticias_filtered/g1/haitianos/2020/00_jan/txt/g1_a37db786-2307-11ed-b24f-6dbe51e79fca_2332.txt", "TXT")</f>
        <v/>
      </c>
    </row>
    <row r="1146">
      <c r="A1146" s="1" t="n">
        <v>1144</v>
      </c>
      <c r="B1146" t="n">
        <v>2020</v>
      </c>
      <c r="C1146" s="2" t="n">
        <v>43840.77888952546</v>
      </c>
      <c r="D1146" t="inlineStr">
        <is>
          <t>G1</t>
        </is>
      </c>
      <c r="E1146" t="inlineStr">
        <is>
          <t>VENEZUELANOS</t>
        </is>
      </c>
      <c r="F1146" t="inlineStr">
        <is>
          <t>RIO GRANDE DO SUL</t>
        </is>
      </c>
      <c r="G1146" t="inlineStr">
        <is>
          <t>G1 RS</t>
        </is>
      </c>
      <c r="H1146" t="inlineStr">
        <is>
          <t>PERÍCIA CONCLUI QUE VENEZUELANA MORTA PELO EX EM CAXIAS DO SUL FOI ATINGIDA POR ÁCIDO ASPIRÁVEL QUE CAUSA QUEIMADURA INTERNA</t>
        </is>
      </c>
      <c r="I1146" t="inlineStr">
        <is>
          <t>SUBSTÂNCIA FOI ENCONTRADA NA ROUPA DA VÍTIMA. ÁCIDO NÃO CAUSA QUEIMADURAS EXTENSAS, MAS PODE SER ASPIRADO. ARIANA MORREU POR ASFIXIA MECÂNICA.</t>
        </is>
      </c>
      <c r="J1146">
        <f>HYPERLINK("https://g1.globo.com/rs/rio-grande-do-sul/noticia/2020/01/10/pericia-conclui-que-venezuelana-morta-pelo-ex-em-caxias-do-sul-foi-atingida-por-acido-aspiravel-que-causa-queimadura-interna.ghtml", "URL")</f>
        <v/>
      </c>
      <c r="K1146">
        <f>HYPERLINK("https://raw.githubusercontent.com/marcosmapl/dataset_imigrantes/main/noticias_filtered/g1/venezuelanos/2020/00_jan/html/g1_08222a7e-2316-11ed-b24f-6dbe51e79fca_3122.html", "HTML")</f>
        <v/>
      </c>
      <c r="L1146">
        <f>HYPERLINK("https://raw.githubusercontent.com/marcosmapl/dataset_imigrantes/main/noticias_filtered/g1/venezuelanos/2020/00_jan/txt/g1_08222a7e-2316-11ed-b24f-6dbe51e79fca_3122.txt", "TXT")</f>
        <v/>
      </c>
    </row>
    <row r="1147">
      <c r="A1147" s="1" t="n">
        <v>1145</v>
      </c>
      <c r="B1147" t="n">
        <v>2020</v>
      </c>
      <c r="C1147" s="2" t="n">
        <v>43839.98332898149</v>
      </c>
      <c r="D1147" t="inlineStr">
        <is>
          <t>G1</t>
        </is>
      </c>
      <c r="E1147" t="inlineStr">
        <is>
          <t>VENEZUELANOS</t>
        </is>
      </c>
      <c r="F1147" t="inlineStr">
        <is>
          <t>SANTA CATARINA</t>
        </is>
      </c>
      <c r="G1147" t="inlineStr">
        <is>
          <t>NSC TV</t>
        </is>
      </c>
      <c r="H1147" t="inlineStr">
        <is>
          <t>VENEZUELANOS QUE DIZEM TER SIDO 'OBRIGADOS' A IREM A FLORIANÓPOLIS CONSEGUEM EMPREGO EM ITAJAÍ</t>
        </is>
      </c>
      <c r="I1147" t="inlineStr">
        <is>
          <t>HOMENS DO GRUPO FORAM CONTRATADOS POR UMA EMPRESA QUE PRESTA SERVIÇOS TERCEIRIZADOS PARA A PREFEITURA.</t>
        </is>
      </c>
      <c r="J1147">
        <f>HYPERLINK("https://g1.globo.com/sc/santa-catarina/noticia/2020/01/09/venezuelanos-que-dizem-ter-sido-obrigados-a-irem-a-florianopolis-conseguem-emprego-em-itajai.ghtml", "URL")</f>
        <v/>
      </c>
      <c r="K1147">
        <f>HYPERLINK("https://raw.githubusercontent.com/marcosmapl/dataset_imigrantes/main/noticias_filtered/g1/venezuelanos/2020/00_jan/html/g1_966cac14-2316-11ed-b24f-6dbe51e79fca_3157.html", "HTML")</f>
        <v/>
      </c>
      <c r="L1147">
        <f>HYPERLINK("https://raw.githubusercontent.com/marcosmapl/dataset_imigrantes/main/noticias_filtered/g1/venezuelanos/2020/00_jan/txt/g1_966cac14-2316-11ed-b24f-6dbe51e79fca_3157.txt", "TXT")</f>
        <v/>
      </c>
    </row>
    <row r="1148">
      <c r="A1148" s="1" t="n">
        <v>1146</v>
      </c>
      <c r="B1148" t="n">
        <v>2020</v>
      </c>
      <c r="C1148" s="2" t="n">
        <v>43839.44436342592</v>
      </c>
      <c r="D1148" t="inlineStr">
        <is>
          <t>A CRITICA</t>
        </is>
      </c>
      <c r="E1148" t="inlineStr">
        <is>
          <t>VENEZUELANOS</t>
        </is>
      </c>
      <c r="F1148" t="inlineStr">
        <is>
          <t>MANAUS</t>
        </is>
      </c>
      <c r="G1148" t="inlineStr">
        <is>
          <t>PORTAL A CRÍTICA</t>
        </is>
      </c>
      <c r="H1148" t="inlineStr">
        <is>
          <t>MAIS DE 5 MIL VENEZUELANOS FORAM ATENDIDOS PELO POSTO DE INTERIORIZAÇÃO</t>
        </is>
      </c>
      <c r="I1148" t="inlineStr">
        <is>
          <t>COM CERCA DE 224 MIL VENEZUELANOS NO BRASIL, A COLETA DOS DADOS FACILITA A RESPOSTA LOCAL, APOIA A ADEQUAÇÃO DE SERVIÇOS BÁSICOS COMO SAÚDE, EDUCAÇÃO E ABRIGAMENTO E AUXILIA O MAPEAMENTO DE FLUXOS DE MOBILIDADE INTERNAMENTE</t>
        </is>
      </c>
      <c r="J1148">
        <f>HYPERLINK("https://www.acritica.com/manaus/mais-de-5-mil-venezuelanos-foram-atendidos-pelo-posto-de-interiorizac-o-1.50983", "URL")</f>
        <v/>
      </c>
      <c r="K1148">
        <f>HYPERLINK("https://raw.githubusercontent.com/marcosmapl/dataset_imigrantes/main/noticias_filtered/a_critica/venezuelanos/2020/00_jan/html/1.50983_1252.html", "HTML")</f>
        <v/>
      </c>
      <c r="L1148">
        <f>HYPERLINK("https://raw.githubusercontent.com/marcosmapl/dataset_imigrantes/main/noticias_filtered/a_critica/venezuelanos/2020/00_jan/txt/1.50983_1252.txt", "TXT")</f>
        <v/>
      </c>
    </row>
    <row r="1149">
      <c r="A1149" s="1" t="n">
        <v>1147</v>
      </c>
      <c r="B1149" t="n">
        <v>2020</v>
      </c>
      <c r="C1149" s="2" t="n">
        <v>43838.88541666666</v>
      </c>
      <c r="D1149" t="inlineStr">
        <is>
          <t>PORTAL AMAZONIA</t>
        </is>
      </c>
      <c r="E1149" t="inlineStr">
        <is>
          <t>VENEZUELANOS</t>
        </is>
      </c>
      <c r="F1149" t="inlineStr">
        <is>
          <t>CIDADES</t>
        </is>
      </c>
      <c r="G1149" t="inlineStr">
        <is>
          <t>REDAÇÃO</t>
        </is>
      </c>
      <c r="H1149" t="inlineStr">
        <is>
          <t>ATOR LIAM NEESON VISITA REFUGIADOS VENEZUELANOS EM RORAIMA</t>
        </is>
      </c>
      <c r="I1149" t="inlineStr">
        <is>
          <t>O ATOR IRLANDÊS LIAM NEESON ESTÁ EM VISITA OFICIAL A RORAIMA, NO NORTE DO BRASIL, COMO EMBAIXADOR DA BOA VONTADE DO FUNDO DAS NAÇÕES UNIDAS PARA A INFÂNCIA (UNICEF). NESTA TERÇA-FEIRA (7), ELE FOI À CIDADE DE PACARAIMA, NA FRONTEIRA ENTRE BRASIL E VE</t>
        </is>
      </c>
      <c r="J1149">
        <f>HYPERLINK("https://portalamazonia.com/noticias/cidades/ator-liam-neeson-visita-refugiados-venezuelanos-em-roraima", "URL")</f>
        <v/>
      </c>
      <c r="K1149">
        <f>HYPERLINK("https://raw.githubusercontent.com/marcosmapl/dataset_imigrantes/main/noticias_filtered/portal_amazonia/venezuelanos/2020/00_jan/html/17864.17864_1595.html", "HTML")</f>
        <v/>
      </c>
      <c r="L1149">
        <f>HYPERLINK("https://raw.githubusercontent.com/marcosmapl/dataset_imigrantes/main/noticias_filtered/portal_amazonia/venezuelanos/2020/00_jan/txt/17864.17864_1595.txt", "TXT")</f>
        <v/>
      </c>
    </row>
    <row r="1150">
      <c r="A1150" s="1" t="n">
        <v>1148</v>
      </c>
      <c r="B1150" t="n">
        <v>2020</v>
      </c>
      <c r="C1150" s="2" t="n">
        <v>43838.53333333333</v>
      </c>
      <c r="D1150" t="inlineStr">
        <is>
          <t>PORTAL AMAZONIA</t>
        </is>
      </c>
      <c r="E1150" t="inlineStr">
        <is>
          <t>AMBOS</t>
        </is>
      </c>
      <c r="F1150" t="inlineStr">
        <is>
          <t>EDUCAÇÃO</t>
        </is>
      </c>
      <c r="G1150" t="inlineStr">
        <is>
          <t>REDAÇÃO</t>
        </is>
      </c>
      <c r="H1150" t="inlineStr">
        <is>
          <t>MÚSICA AUXILIA NA APRENDIZAGEM DA LÍNGUA INGLESA EM MANAUS</t>
        </is>
      </c>
      <c r="I1150" t="inlineStr">
        <is>
          <t>QUEM NÃO GOSTA DE OUVIR A CANÇÃO FAVORITA? SEJA PARA CANTAR, DANÇAR, REFLETIR, RELAXAR OU ATÉ MESMO PARA PRATICAR ALGUMA ATIVIDADE FÍSICA, A MÚSICA É UNIVERSAL E POSSUI DIFERENTES RITMOS E LÍNGUAS. EM MANAUS, A MÚSICA TAMBÉM TEM SIDO USADA COMO INSTR</t>
        </is>
      </c>
      <c r="J1150">
        <f>HYPERLINK("https://portalamazonia.com/noticias/educacao/musica-auxilia-na-aprendizagem-da-lingua-inglesa-em-manaus", "URL")</f>
        <v/>
      </c>
      <c r="K1150">
        <f>HYPERLINK("https://raw.githubusercontent.com/marcosmapl/dataset_imigrantes/main/noticias_filtered/portal_amazonia/ambos/2020/00_jan/html/17855.17855_1579.html", "HTML")</f>
        <v/>
      </c>
      <c r="L1150">
        <f>HYPERLINK("https://raw.githubusercontent.com/marcosmapl/dataset_imigrantes/main/noticias_filtered/portal_amazonia/ambos/2020/00_jan/txt/17855.17855_1579.txt", "TXT")</f>
        <v/>
      </c>
    </row>
    <row r="1151">
      <c r="A1151" s="1" t="n">
        <v>1149</v>
      </c>
      <c r="B1151" t="n">
        <v>2020</v>
      </c>
      <c r="C1151" s="2" t="n">
        <v>43838.51093390046</v>
      </c>
      <c r="D1151" t="inlineStr">
        <is>
          <t>G1</t>
        </is>
      </c>
      <c r="E1151" t="inlineStr">
        <is>
          <t>VENEZUELANOS</t>
        </is>
      </c>
      <c r="F1151" t="inlineStr">
        <is>
          <t>RORAIMA</t>
        </is>
      </c>
      <c r="G1151" t="inlineStr">
        <is>
          <t>EMILY COSTA, G1 RR — BOA VISTA</t>
        </is>
      </c>
      <c r="H1151" t="inlineStr">
        <is>
          <t>PASSA DE 3 MIL O NÚMERO DE VENEZUELANOS VIVENDO EM PRÉDIOS ABANDONADOS EM BOA VISTA</t>
        </is>
      </c>
      <c r="I1151" t="inlineStr">
        <is>
          <t>QUANTIDADE DE IMIGRANTES QUE VIVE EM 11 OCUPAÇÕES FOI APRESENTADA PELA OPERAÇÃO ACOLHIDA; GOVERNO QUER CRIAR COMITÊ PARA DESOCUPAR PRÉDIOS PÚBLICOS.</t>
        </is>
      </c>
      <c r="J1151">
        <f>HYPERLINK("https://g1.globo.com/rr/roraima/noticia/2020/01/08/passa-de-3-mil-o-numero-de-venezuelanos-vivendo-em-predios-abandonados-em-boa-vista.ghtml", "URL")</f>
        <v/>
      </c>
      <c r="K1151">
        <f>HYPERLINK("https://raw.githubusercontent.com/marcosmapl/dataset_imigrantes/main/noticias_filtered/g1/venezuelanos/2020/00_jan/html/g1_b14685ae-2308-11ed-b24f-6dbe51e79fca_2398.html", "HTML")</f>
        <v/>
      </c>
      <c r="L1151">
        <f>HYPERLINK("https://raw.githubusercontent.com/marcosmapl/dataset_imigrantes/main/noticias_filtered/g1/venezuelanos/2020/00_jan/txt/g1_b14685ae-2308-11ed-b24f-6dbe51e79fca_2398.txt", "TXT")</f>
        <v/>
      </c>
    </row>
    <row r="1152">
      <c r="A1152" s="1" t="n">
        <v>1150</v>
      </c>
      <c r="B1152" t="n">
        <v>2020</v>
      </c>
      <c r="C1152" s="2" t="n">
        <v>43838.33468582176</v>
      </c>
      <c r="D1152" t="inlineStr">
        <is>
          <t>G1</t>
        </is>
      </c>
      <c r="E1152" t="inlineStr">
        <is>
          <t>VENEZUELANOS</t>
        </is>
      </c>
      <c r="F1152" t="inlineStr">
        <is>
          <t>MINAS GERAIS</t>
        </is>
      </c>
      <c r="G1152" t="inlineStr">
        <is>
          <t>G1 MINAS — BELO HORIZONTE</t>
        </is>
      </c>
      <c r="H1152" t="inlineStr">
        <is>
          <t>GRUPO DE VENEZUELANAS REFUGIADAS CHEGA A BH NESTA TERÇA-FEIRA</t>
        </is>
      </c>
      <c r="I1152" t="inlineStr">
        <is>
          <t>É A QUARTA VEZ QUE A CIDADE RECEBE PESSOAS DESTE PAÍS QUE FUGIRAM DAS CRISES FINANCEIRA E POLÍTICA. A INICIATIVA FAZ PARTE DO PROJETO ‘ACOLHE MINAS’, DO SERVIÇO JESUÍTA A MIGRANTES E REFUGIADOS.</t>
        </is>
      </c>
      <c r="J1152">
        <f>HYPERLINK("https://g1.globo.com/mg/minas-gerais/noticia/2020/01/08/grupo-de-venezuelanas-refugiadas-chega-a-belo-horizonte-nesta-terca-feira.ghtml", "URL")</f>
        <v/>
      </c>
      <c r="K1152">
        <f>HYPERLINK("https://raw.githubusercontent.com/marcosmapl/dataset_imigrantes/main/noticias_filtered/g1/venezuelanos/2020/00_jan/html/g1_e2a91e5e-231c-11ed-b24f-6dbe51e79fca_3471.html", "HTML")</f>
        <v/>
      </c>
      <c r="L1152">
        <f>HYPERLINK("https://raw.githubusercontent.com/marcosmapl/dataset_imigrantes/main/noticias_filtered/g1/venezuelanos/2020/00_jan/txt/g1_e2a91e5e-231c-11ed-b24f-6dbe51e79fca_3471.txt", "TXT")</f>
        <v/>
      </c>
    </row>
    <row r="1153">
      <c r="A1153" s="1" t="n">
        <v>1151</v>
      </c>
      <c r="B1153" t="n">
        <v>2020</v>
      </c>
      <c r="C1153" s="2" t="n">
        <v>43837.80097310185</v>
      </c>
      <c r="D1153" t="inlineStr">
        <is>
          <t>G1</t>
        </is>
      </c>
      <c r="E1153" t="inlineStr">
        <is>
          <t>VENEZUELANOS</t>
        </is>
      </c>
      <c r="F1153" t="inlineStr">
        <is>
          <t>RORAIMA</t>
        </is>
      </c>
      <c r="G1153" t="inlineStr">
        <is>
          <t>EMILY COSTA E VALÉRIA OLIVEIRA, G1 RR — BOA VISTA</t>
        </is>
      </c>
      <c r="H1153" t="inlineStr">
        <is>
          <t>ATOR LIAM NEESON VISITA REFUGIADOS VENEZUELANOS EM RORAIMA</t>
        </is>
      </c>
      <c r="I1153" t="inlineStr">
        <is>
          <t>EMBAIXADOR DA BOA VONTADE DO UNICEF, ATOR IRLANDÊS FOI A PACARAIMA, NA FRONTEIRA COM A VENEZUELA, NESTA TERÇA-FEIRA (7).</t>
        </is>
      </c>
      <c r="J1153">
        <f>HYPERLINK("https://g1.globo.com/rr/roraima/noticia/2020/01/07/ator-liam-neeson-visita-refugiados-venezuelanos-em-roraima.ghtml", "URL")</f>
        <v/>
      </c>
      <c r="K1153">
        <f>HYPERLINK("https://raw.githubusercontent.com/marcosmapl/dataset_imigrantes/main/noticias_filtered/g1/venezuelanos/2020/00_jan/html/g1_0be4c368-232c-11ed-b24f-6dbe51e79fca_4282.html", "HTML")</f>
        <v/>
      </c>
      <c r="L1153">
        <f>HYPERLINK("https://raw.githubusercontent.com/marcosmapl/dataset_imigrantes/main/noticias_filtered/g1/venezuelanos/2020/00_jan/txt/g1_0be4c368-232c-11ed-b24f-6dbe51e79fca_4282.txt", "TXT")</f>
        <v/>
      </c>
    </row>
    <row r="1154">
      <c r="A1154" s="1" t="n">
        <v>1152</v>
      </c>
      <c r="B1154" t="n">
        <v>2020</v>
      </c>
      <c r="C1154" s="2" t="n">
        <v>43836.97186291667</v>
      </c>
      <c r="D1154" t="inlineStr">
        <is>
          <t>G1</t>
        </is>
      </c>
      <c r="E1154" t="inlineStr">
        <is>
          <t>VENEZUELANOS</t>
        </is>
      </c>
      <c r="F1154" t="inlineStr">
        <is>
          <t>POLÍTICA</t>
        </is>
      </c>
      <c r="G1154" t="inlineStr">
        <is>
          <t>FERNANDA VIVAS E MARIANA OLIVEIRA, TV GLOBO — BRASÍLIA</t>
        </is>
      </c>
      <c r="H1154" t="inlineStr">
        <is>
          <t>PGR ENCAMINHA PARA O ITAMARATY PEDIDO DE EXTRADIÇÃO DE MILITARES VENEZUELANOS</t>
        </is>
      </c>
      <c r="I1154" t="inlineStr">
        <is>
          <t>PEDIDO FOI APRESENTADO PELA PROCURADORIA DA VENEZUELA NA SEMANA PASSADA; ÓRGÃO DIZ QUE MILITARES ESTÃO ENVOLVIDOS EM ATAQUE EM GRAN SABANA. MILITARES FORAM ENCONTRADOS EM RORAIMA.</t>
        </is>
      </c>
      <c r="J1154">
        <f>HYPERLINK("https://g1.globo.com/politica/noticia/2020/01/06/pgr-envia-para-o-itamaraty-pedido-de-extradicao-de-militares-venezuelanos.ghtml", "URL")</f>
        <v/>
      </c>
      <c r="K1154">
        <f>HYPERLINK("https://raw.githubusercontent.com/marcosmapl/dataset_imigrantes/main/noticias_filtered/g1/venezuelanos/2020/00_jan/html/g1_bebd4b3a-231e-11ed-b24f-6dbe51e79fca_3582.html", "HTML")</f>
        <v/>
      </c>
      <c r="L1154">
        <f>HYPERLINK("https://raw.githubusercontent.com/marcosmapl/dataset_imigrantes/main/noticias_filtered/g1/venezuelanos/2020/00_jan/txt/g1_bebd4b3a-231e-11ed-b24f-6dbe51e79fca_3582.txt", "TXT")</f>
        <v/>
      </c>
    </row>
    <row r="1155">
      <c r="A1155" s="1" t="n">
        <v>1153</v>
      </c>
      <c r="B1155" t="n">
        <v>2020</v>
      </c>
      <c r="C1155" s="2" t="n">
        <v>43836.78539398148</v>
      </c>
      <c r="D1155" t="inlineStr">
        <is>
          <t>G1</t>
        </is>
      </c>
      <c r="E1155" t="inlineStr">
        <is>
          <t>VENEZUELANOS</t>
        </is>
      </c>
      <c r="F1155" t="inlineStr">
        <is>
          <t>PIAUÍ</t>
        </is>
      </c>
      <c r="G1155" t="inlineStr">
        <is>
          <t>PITV 1</t>
        </is>
      </c>
      <c r="H1155" t="inlineStr">
        <is>
          <t>NOVO GRUPO DE VENEZUELANOS É FLAGRADO PEDINDO ESMOLA COM CRIANÇAS  EM SEMÁFOROS DE TERESINA</t>
        </is>
      </c>
      <c r="I1155" t="inlineStr">
        <is>
          <t>SEGUNDO O SECRETÁRIO DE ASSISTÊNCIA SOCIAL E POLÍTICAS INTEGRADAS (SEMCASPI) SAMUEL SILVEIRA, ESTE GRUPO AINDA NÃO ESTÁ SOB RESPONSORIALIDADE DA PREFEITURA, MAS RECEBE AUXILIO DO ESTADO.</t>
        </is>
      </c>
      <c r="J1155">
        <f>HYPERLINK("https://g1.globo.com/pi/piaui/noticia/2020/01/06/novo-grupo-de-venezuelanos-e-flagrado-pedindo-esmola-com-criancas-em-semaforos-de-teresina.ghtml", "URL")</f>
        <v/>
      </c>
      <c r="K1155">
        <f>HYPERLINK("https://raw.githubusercontent.com/marcosmapl/dataset_imigrantes/main/noticias_filtered/g1/venezuelanos/2020/00_jan/html/g1_f2387786-231f-11ed-b24f-6dbe51e79fca_3653.html", "HTML")</f>
        <v/>
      </c>
      <c r="L1155">
        <f>HYPERLINK("https://raw.githubusercontent.com/marcosmapl/dataset_imigrantes/main/noticias_filtered/g1/venezuelanos/2020/00_jan/txt/g1_f2387786-231f-11ed-b24f-6dbe51e79fca_3653.txt", "TXT")</f>
        <v/>
      </c>
    </row>
    <row r="1156">
      <c r="A1156" s="1" t="n">
        <v>1154</v>
      </c>
      <c r="B1156" t="n">
        <v>2020</v>
      </c>
      <c r="C1156" s="2" t="n">
        <v>43835.98340793981</v>
      </c>
      <c r="D1156" t="inlineStr">
        <is>
          <t>G1</t>
        </is>
      </c>
      <c r="E1156" t="inlineStr">
        <is>
          <t>VENEZUELANOS</t>
        </is>
      </c>
      <c r="F1156" t="inlineStr">
        <is>
          <t>MUNDO</t>
        </is>
      </c>
      <c r="G1156" t="inlineStr">
        <is>
          <t>BBC</t>
        </is>
      </c>
      <c r="H1156" t="inlineStr">
        <is>
          <t>QUEM É LUIS PARRA, POLÊMICO DEPUTADO ELEITO PRESIDENTE DO CONGRESSO DA VENEZUELA NO LUGAR DE GUAIDÓ</t>
        </is>
      </c>
      <c r="I1156" t="inlineStr">
        <is>
          <t>ACUSADO DE CORRUPÇÃO E EXPULSO DE SEU PARTIDO, O DEPUTADO FOI NOMEADO PRESIDENTE DA CÂMARA COM O APOIO DE CHAVISTAS. O OPOSITOR JUAN GUAIDÓ, IMPEDIDO DE ENTRAR NA CÂMARA, ACUSOU A ELEIÇÃO DE 'GOLPE PARLAMENTAR'.</t>
        </is>
      </c>
      <c r="J1156">
        <f>HYPERLINK("https://g1.globo.com/mundo/noticia/2020/01/05/quem-e-luis-parra-polemico-deputado-eleito-presidente-do-congresso-da-venezuela-no-lugar-de-guaido.ghtml", "URL")</f>
        <v/>
      </c>
      <c r="K1156">
        <f>HYPERLINK("https://raw.githubusercontent.com/marcosmapl/dataset_imigrantes/main/noticias_filtered/g1/venezuelanos/2020/00_jan/html/g1_71288d08-231e-11ed-b24f-6dbe51e79fca_3561.html", "HTML")</f>
        <v/>
      </c>
      <c r="L1156">
        <f>HYPERLINK("https://raw.githubusercontent.com/marcosmapl/dataset_imigrantes/main/noticias_filtered/g1/venezuelanos/2020/00_jan/txt/g1_71288d08-231e-11ed-b24f-6dbe51e79fca_3561.txt", "TXT")</f>
        <v/>
      </c>
    </row>
    <row r="1157">
      <c r="A1157" s="1" t="n">
        <v>1155</v>
      </c>
      <c r="B1157" t="n">
        <v>2020</v>
      </c>
      <c r="C1157" s="2" t="n">
        <v>43834.83519383102</v>
      </c>
      <c r="D1157" t="inlineStr">
        <is>
          <t>G1</t>
        </is>
      </c>
      <c r="E1157" t="inlineStr">
        <is>
          <t>HAITIANOS</t>
        </is>
      </c>
      <c r="F1157" t="inlineStr">
        <is>
          <t>SANTA CATARINA</t>
        </is>
      </c>
      <c r="G1157" t="inlineStr">
        <is>
          <t>G1 SC</t>
        </is>
      </c>
      <c r="H1157" t="inlineStr">
        <is>
          <t>RESGATE DE BANHISTAS, AÉCIO NEVES NO HOSPITAL, REABERTURA DA PONTE HERCÍLIO LUZ E AS MAIS LIDAS DO G1 SC</t>
        </is>
      </c>
      <c r="I1157" t="inlineStr">
        <is>
          <t>BOMBEIROS RESGATARAM PELO MENOS NOVE PESSOAS APÓS CABEÇA D'ÁGUA ATINGIR CACHOEIRA NA GRANDE FLORIANÓPOLIS. A NOTÍCIA FOI A MAIS LIDA DA SEMANA.</t>
        </is>
      </c>
      <c r="J1157">
        <f>HYPERLINK("https://g1.globo.com/sc/santa-catarina/noticia/2020/01/04/resgate-de-banhistas-aecio-neves-no-hospital-reabertura-da-ponte-hercilio-luz-e-as-mais-lidas-do-g1-sc.ghtml", "URL")</f>
        <v/>
      </c>
      <c r="K1157">
        <f>HYPERLINK("https://raw.githubusercontent.com/marcosmapl/dataset_imigrantes/main/noticias_filtered/g1/haitianos/2020/00_jan/html/g1_6cb13736-2326-11ed-b24f-6dbe51e79fca_3975.html", "HTML")</f>
        <v/>
      </c>
      <c r="L1157">
        <f>HYPERLINK("https://raw.githubusercontent.com/marcosmapl/dataset_imigrantes/main/noticias_filtered/g1/haitianos/2020/00_jan/txt/g1_6cb13736-2326-11ed-b24f-6dbe51e79fca_3975.txt", "TXT")</f>
        <v/>
      </c>
    </row>
    <row r="1158">
      <c r="A1158" s="1" t="n">
        <v>1156</v>
      </c>
      <c r="B1158" t="n">
        <v>2020</v>
      </c>
      <c r="C1158" s="2" t="n">
        <v>43834.77090277777</v>
      </c>
      <c r="D1158" t="inlineStr">
        <is>
          <t>A CRITICA</t>
        </is>
      </c>
      <c r="E1158" t="inlineStr">
        <is>
          <t>VENEZUELANOS</t>
        </is>
      </c>
      <c r="F1158" t="inlineStr">
        <is>
          <t>ESPORTES</t>
        </is>
      </c>
      <c r="G1158" t="inlineStr">
        <is>
          <t>LANE AZEVEDO</t>
        </is>
      </c>
      <c r="H1158" t="inlineStr">
        <is>
          <t>NACIONAL APRESENTA ELENCO COMPLETO PARA A TEMPORADA DE 2020</t>
        </is>
      </c>
      <c r="I1158" t="inlineStr">
        <is>
          <t>COM 23 JOGADORES NO PLANTEL, O NAÇA APRESENTOU OS JOGADORES DURANTE EVENTO NO CT BARBOSA FILHO, NA ZONA LESTE DE MANAUS</t>
        </is>
      </c>
      <c r="J1158">
        <f>HYPERLINK("https://www.acritica.com/esportes/nacional-apresenta-elenco-completo-para-a-temporada-de-2020-1.51084", "URL")</f>
        <v/>
      </c>
      <c r="K1158">
        <f>HYPERLINK("https://raw.githubusercontent.com/marcosmapl/dataset_imigrantes/main/noticias_filtered/a_critica/venezuelanos/2020/00_jan/html/1.51084_349.html", "HTML")</f>
        <v/>
      </c>
      <c r="L1158">
        <f>HYPERLINK("https://raw.githubusercontent.com/marcosmapl/dataset_imigrantes/main/noticias_filtered/a_critica/venezuelanos/2020/00_jan/txt/1.51084_349.txt", "TXT")</f>
        <v/>
      </c>
    </row>
    <row r="1159">
      <c r="A1159" s="1" t="n">
        <v>1157</v>
      </c>
      <c r="B1159" t="n">
        <v>2020</v>
      </c>
      <c r="C1159" s="2" t="n">
        <v>43831.90396799768</v>
      </c>
      <c r="D1159" t="inlineStr">
        <is>
          <t>G1</t>
        </is>
      </c>
      <c r="E1159" t="inlineStr">
        <is>
          <t>HAITIANOS</t>
        </is>
      </c>
      <c r="F1159" t="inlineStr">
        <is>
          <t>SANTA CATARINA</t>
        </is>
      </c>
      <c r="G1159" t="inlineStr">
        <is>
          <t>NSC TV E G1 SC</t>
        </is>
      </c>
      <c r="H1159" t="inlineStr">
        <is>
          <t>MÃE HAITIANA REENCONTRA FILHOS EM SC APÓS QUASE 4 ANOS</t>
        </is>
      </c>
      <c r="I1159" t="inlineStr">
        <is>
          <t>MULHER PRECISOU DEIXAR TRÊS FILHOS NO HAITI QUANDO VEIO PARA JOINVILLE. COM AJUDA DA PATROA, MÃE TERÁ FAMÍLIA AO LADO EM 2020.</t>
        </is>
      </c>
      <c r="J1159">
        <f>HYPERLINK("https://g1.globo.com/sc/santa-catarina/noticia/2020/01/01/mae-haitiana-reencontra-filhos-em-sc-apos-quase-4-anos.ghtml", "URL")</f>
        <v/>
      </c>
      <c r="K1159">
        <f>HYPERLINK("https://raw.githubusercontent.com/marcosmapl/dataset_imigrantes/main/noticias_filtered/g1/haitianos/2020/00_jan/html/g1_3d0e4058-230a-11ed-b24f-6dbe51e79fca_2491.html", "HTML")</f>
        <v/>
      </c>
      <c r="L1159">
        <f>HYPERLINK("https://raw.githubusercontent.com/marcosmapl/dataset_imigrantes/main/noticias_filtered/g1/haitianos/2020/00_jan/txt/g1_3d0e4058-230a-11ed-b24f-6dbe51e79fca_2491.txt", "TXT")</f>
        <v/>
      </c>
    </row>
    <row r="1160">
      <c r="A1160" s="1" t="n">
        <v>1158</v>
      </c>
      <c r="B1160" t="n">
        <v>2020</v>
      </c>
      <c r="C1160" s="2" t="n">
        <v>43831.75803824074</v>
      </c>
      <c r="D1160" t="inlineStr">
        <is>
          <t>G1</t>
        </is>
      </c>
      <c r="E1160" t="inlineStr">
        <is>
          <t>VENEZUELANOS</t>
        </is>
      </c>
      <c r="F1160" t="inlineStr">
        <is>
          <t>PARÁ</t>
        </is>
      </c>
      <c r="G1160" t="inlineStr">
        <is>
          <t>G1 PA — BELÉM</t>
        </is>
      </c>
      <c r="H1160" t="inlineStr">
        <is>
          <t>ÍNDIOS VENEZUELANOS DIZEM TER SOFRIDO AGRESSÕES DE AGENTES DA GUARDA MUNICIPAL</t>
        </is>
      </c>
      <c r="I1160" t="inlineStr">
        <is>
          <t>CASO ACONTECEU NA MANHÃ DESTA QUARTA-FEIRA (1º). GUARDA MUNICIPAL E POLÍCIA MILITAR FORAM ACIONADOS PARA CONTER TUMULTO OCORRIDO DENTRO DE UM ABRIGO DOS REFUGIADOS.</t>
        </is>
      </c>
      <c r="J1160">
        <f>HYPERLINK("https://g1.globo.com/pa/para/noticia/2020/01/01/indios-venezuelanos-denunciam-terem-sofrido-agressoes-da-guarda-municipal-de-belem.ghtml", "URL")</f>
        <v/>
      </c>
      <c r="K1160">
        <f>HYPERLINK("https://raw.githubusercontent.com/marcosmapl/dataset_imigrantes/main/noticias_filtered/g1/venezuelanos/2020/00_jan/html/g1_06ce5edc-230b-11ed-b24f-6dbe51e79fca_2539.html", "HTML")</f>
        <v/>
      </c>
      <c r="L1160">
        <f>HYPERLINK("https://raw.githubusercontent.com/marcosmapl/dataset_imigrantes/main/noticias_filtered/g1/venezuelanos/2020/00_jan/txt/g1_06ce5edc-230b-11ed-b24f-6dbe51e79fca_2539.txt", "TXT")</f>
        <v/>
      </c>
    </row>
    <row r="1161">
      <c r="A1161" s="1" t="n">
        <v>1159</v>
      </c>
      <c r="B1161" t="n">
        <v>2020</v>
      </c>
      <c r="C1161" s="2" t="n">
        <v>43831.75428131944</v>
      </c>
      <c r="D1161" t="inlineStr">
        <is>
          <t>G1</t>
        </is>
      </c>
      <c r="E1161" t="inlineStr">
        <is>
          <t>VENEZUELANOS</t>
        </is>
      </c>
      <c r="F1161" t="inlineStr">
        <is>
          <t>RORAIMA</t>
        </is>
      </c>
      <c r="G1161" t="inlineStr">
        <is>
          <t>G1 RR — BOA VISTA</t>
        </is>
      </c>
      <c r="H1161" t="inlineStr">
        <is>
          <t>PRIMEIRA BEBÊ QUE NASCEU EM RR EM 2020 É FILHA DE VENEZUELANA E SE CHAMA FREDIMAR</t>
        </is>
      </c>
      <c r="I1161" t="inlineStr">
        <is>
          <t>BEBÊ NASCEU PESANDO 3435 KG E MEDINDO 51 CM. PARTO FOI CESARIANA SEM COMPLICAÇÕES, DE ACORDO COM DIREÇÃO DA MATERNIDADE.</t>
        </is>
      </c>
      <c r="J1161">
        <f>HYPERLINK("https://g1.globo.com/rr/roraima/noticia/2020/01/01/primeira-bebe-que-nasceu-em-rr-em-2020-e-filha-de-venezuelana-e-se-chama-fredimar.ghtml", "URL")</f>
        <v/>
      </c>
      <c r="K1161">
        <f>HYPERLINK("https://raw.githubusercontent.com/marcosmapl/dataset_imigrantes/main/noticias_filtered/g1/venezuelanos/2020/00_jan/html/g1_94fe330c-232a-11ed-b24f-6dbe51e79fca_4188.html", "HTML")</f>
        <v/>
      </c>
      <c r="L1161">
        <f>HYPERLINK("https://raw.githubusercontent.com/marcosmapl/dataset_imigrantes/main/noticias_filtered/g1/venezuelanos/2020/00_jan/txt/g1_94fe330c-232a-11ed-b24f-6dbe51e79fca_4188.txt", "TXT")</f>
        <v/>
      </c>
    </row>
    <row r="1162">
      <c r="A1162" s="1" t="n">
        <v>1160</v>
      </c>
      <c r="B1162" t="n">
        <v>2019</v>
      </c>
      <c r="C1162" s="2" t="n">
        <v>43830.60726851852</v>
      </c>
      <c r="D1162" t="inlineStr">
        <is>
          <t>A CRITICA</t>
        </is>
      </c>
      <c r="E1162" t="inlineStr">
        <is>
          <t>VENEZUELANOS</t>
        </is>
      </c>
      <c r="F1162" t="inlineStr"/>
      <c r="G1162" t="inlineStr">
        <is>
          <t>LUIZ G. MELO</t>
        </is>
      </c>
      <c r="H1162" t="inlineStr">
        <is>
          <t>NUTRICIONISTA DÁ DICAS PARA SE LIVRAR DOS EFEITOS DO EXCESSO DE BEBIDAS ALCOÓLICAS</t>
        </is>
      </c>
      <c r="I1162" t="inlineStr">
        <is>
          <t>DO PONTO DE VISTA CIENTÍFICO, NÃO EXISTA UMA RECEITA INFALÍVEL QUE EVITE A RESSACA, MAS MANTER-SE HIDRATADO E ESTAR BEM ALIMENTADOS ESTÃO ENTRE AS DICAS MAIS POPULARES</t>
        </is>
      </c>
      <c r="J1162">
        <f>HYPERLINK("https://www.acritica.com/nutricionista-da-dicas-para-se-livrar-dos-efeitos-do-excesso-de-bebidas-alcoolicas-1.52282", "URL")</f>
        <v/>
      </c>
      <c r="K1162">
        <f>HYPERLINK("https://raw.githubusercontent.com/marcosmapl/dataset_imigrantes/main/noticias_filtered/a_critica/venezuelanos/2019/11_dez/html/1.52282_667.html", "HTML")</f>
        <v/>
      </c>
      <c r="L1162">
        <f>HYPERLINK("https://raw.githubusercontent.com/marcosmapl/dataset_imigrantes/main/noticias_filtered/a_critica/venezuelanos/2019/11_dez/txt/1.52282_667.txt", "TXT")</f>
        <v/>
      </c>
    </row>
    <row r="1163">
      <c r="A1163" s="1" t="n">
        <v>1161</v>
      </c>
      <c r="B1163" t="n">
        <v>2019</v>
      </c>
      <c r="C1163" s="2" t="n">
        <v>43830.54991214121</v>
      </c>
      <c r="D1163" t="inlineStr">
        <is>
          <t>G1</t>
        </is>
      </c>
      <c r="E1163" t="inlineStr">
        <is>
          <t>HAITIANOS</t>
        </is>
      </c>
      <c r="F1163" t="inlineStr">
        <is>
          <t>RORAIMA</t>
        </is>
      </c>
      <c r="G1163" t="inlineStr">
        <is>
          <t>G1 RR — BOA VISTA</t>
        </is>
      </c>
      <c r="H1163" t="inlineStr">
        <is>
          <t>RETROSPECTIVA 2019: OURO ILEGAL, HAITIANOS, POLÍTICOS CONDENADOS, FRONTEIRA FECHADA E MAIS EM RR</t>
        </is>
      </c>
      <c r="I1163" t="inlineStr">
        <is>
          <t>RELEMBRE FATOS POLÍTICOS IMPORTANTES, HISTÓRIAS DA VIDA URBANA, CRIMES, OPERAÇÕES POLICIAIS E OUTROS DESTAQUES DE 2019 EM RORAIMA.</t>
        </is>
      </c>
      <c r="J1163">
        <f>HYPERLINK("https://g1.globo.com/rr/roraima/noticia/2019/12/31/retrospectiva-2019-ouro-ilegal-haitianos-politicos-condenados-fronteira-fechada-e-mais-em-rr.ghtml", "URL")</f>
        <v/>
      </c>
      <c r="K1163">
        <f>HYPERLINK("https://raw.githubusercontent.com/marcosmapl/dataset_imigrantes/main/noticias_filtered/g1/haitianos/2019/11_dez/html/g1_dfe45834-22b1-11ed-b24f-6dbe51e79fca_1639.html", "HTML")</f>
        <v/>
      </c>
      <c r="L1163">
        <f>HYPERLINK("https://raw.githubusercontent.com/marcosmapl/dataset_imigrantes/main/noticias_filtered/g1/haitianos/2019/11_dez/txt/g1_dfe45834-22b1-11ed-b24f-6dbe51e79fca_1639.txt", "TXT")</f>
        <v/>
      </c>
    </row>
    <row r="1164">
      <c r="A1164" s="1" t="n">
        <v>1162</v>
      </c>
      <c r="B1164" t="n">
        <v>2019</v>
      </c>
      <c r="C1164" s="2" t="n">
        <v>43829.78684092592</v>
      </c>
      <c r="D1164" t="inlineStr">
        <is>
          <t>G1</t>
        </is>
      </c>
      <c r="E1164" t="inlineStr">
        <is>
          <t>VENEZUELANOS</t>
        </is>
      </c>
      <c r="F1164" t="inlineStr">
        <is>
          <t>RORAIMA</t>
        </is>
      </c>
      <c r="G1164" t="inlineStr">
        <is>
          <t>G1 RR* — PACARAIMA</t>
        </is>
      </c>
      <c r="H1164" t="inlineStr">
        <is>
          <t>ÍNDIOS VENEZUELANOS PROTESTAM CONTRA MADURO NA FRONTEIRA COM O BRASIL</t>
        </is>
      </c>
      <c r="I1164" t="inlineStr">
        <is>
          <t>GRUPO DE PEMONES AFIRMA QUE TEM SOFRIDO PERSEGUIÇÃO DO GOVERNO CHAVISTA APÓS ATAQUE A UMA BASE MILITAR NA VENEZUELA NO DIA 22 DE DEZEMBRO. EXÉRCITO ENCONTROU CINCO MILITARES VENEZUELANOS EM TERRA INDÍGENA DE RORAIMA E OS ACOLHEU; MEDIDA FOI CRITICADA PELO GOVERNO MADURO, QUE FALA EM 'TERRORISTAS'.</t>
        </is>
      </c>
      <c r="J1164">
        <f>HYPERLINK("https://g1.globo.com/rr/roraima/noticia/2019/12/30/indios-venezuelanos-protestam-contra-maduro-na-fronteira-com-o-brasil.ghtml", "URL")</f>
        <v/>
      </c>
      <c r="K1164">
        <f>HYPERLINK("https://raw.githubusercontent.com/marcosmapl/dataset_imigrantes/main/noticias_filtered/g1/venezuelanos/2019/11_dez/html/g1_2b2fe710-232d-11ed-b24f-6dbe51e79fca_4345.html", "HTML")</f>
        <v/>
      </c>
      <c r="L1164">
        <f>HYPERLINK("https://raw.githubusercontent.com/marcosmapl/dataset_imigrantes/main/noticias_filtered/g1/venezuelanos/2019/11_dez/txt/g1_2b2fe710-232d-11ed-b24f-6dbe51e79fca_4345.txt", "TXT")</f>
        <v/>
      </c>
    </row>
    <row r="1165">
      <c r="A1165" s="1" t="n">
        <v>1163</v>
      </c>
      <c r="B1165" t="n">
        <v>2019</v>
      </c>
      <c r="C1165" s="2" t="n">
        <v>43827.95375695602</v>
      </c>
      <c r="D1165" t="inlineStr">
        <is>
          <t>G1</t>
        </is>
      </c>
      <c r="E1165" t="inlineStr">
        <is>
          <t>VENEZUELANOS</t>
        </is>
      </c>
      <c r="F1165" t="inlineStr">
        <is>
          <t>POLÍTICA</t>
        </is>
      </c>
      <c r="G1165" t="inlineStr">
        <is>
          <t>G1 — BRASÍLIA</t>
        </is>
      </c>
      <c r="H1165" t="inlineStr">
        <is>
          <t>ITAMARATY E DEFESA INFORMAM QUE MILITARES VENEZUELANOS RETIDOS EM RR PEDIRÃO REFÚGIO AO BRASIL</t>
        </is>
      </c>
      <c r="I1165" t="inlineStr">
        <is>
          <t>MILITARES FORAM ENCONTRADOS PELO EXÉRCITO BRASILEIRO NA QUINTA (26). SEGUNDO O GOVERNO DE NICOLÁS MADURO, ELES SÃO 'DESERTORES' E ESTÃO ENVOLVIDOS NO ATAQUE  A UMA BASE MILITAR NA VENEZUELA.</t>
        </is>
      </c>
      <c r="J1165">
        <f>HYPERLINK("https://g1.globo.com/politica/noticia/2019/12/28/itamaraty-e-defesa-informam-que-militares-venezuelanos-retidos-em-rr-pedirao-refugio-ao-brasil.ghtml", "URL")</f>
        <v/>
      </c>
      <c r="K1165">
        <f>HYPERLINK("https://raw.githubusercontent.com/marcosmapl/dataset_imigrantes/main/noticias_filtered/g1/venezuelanos/2019/11_dez/html/g1_fd775de4-2318-11ed-b24f-6dbe51e79fca_3292.html", "HTML")</f>
        <v/>
      </c>
      <c r="L1165">
        <f>HYPERLINK("https://raw.githubusercontent.com/marcosmapl/dataset_imigrantes/main/noticias_filtered/g1/venezuelanos/2019/11_dez/txt/g1_fd775de4-2318-11ed-b24f-6dbe51e79fca_3292.txt", "TXT")</f>
        <v/>
      </c>
    </row>
    <row r="1166">
      <c r="A1166" s="1" t="n">
        <v>1164</v>
      </c>
      <c r="B1166" t="n">
        <v>2019</v>
      </c>
      <c r="C1166" s="2" t="n">
        <v>43827.77035881944</v>
      </c>
      <c r="D1166" t="inlineStr">
        <is>
          <t>G1</t>
        </is>
      </c>
      <c r="E1166" t="inlineStr">
        <is>
          <t>VENEZUELANOS</t>
        </is>
      </c>
      <c r="F1166" t="inlineStr">
        <is>
          <t>ECONOMIA</t>
        </is>
      </c>
      <c r="G1166" t="inlineStr">
        <is>
          <t>BBC</t>
        </is>
      </c>
      <c r="H1166" t="inlineStr">
        <is>
          <t>O QUE HÁ POR TRÁS DA APARENTE MELHORA DA ECONOMIA DA VENEZUELA</t>
        </is>
      </c>
      <c r="I1166" t="inlineStr">
        <is>
          <t>MAIS DÓLARES ESTÃO CIRCULANDO EM CARACAS, ONDE SURGEM DIVERSAS LOJAS DE PRODUTOS IMPORTADOS DE MIAMI. MAS ISSO INDICA UMA REAL RECUPERAÇÃO ECONÔMICA VENEZUELANA?</t>
        </is>
      </c>
      <c r="J1166">
        <f>HYPERLINK("https://g1.globo.com/economia/noticia/2019/12/28/o-que-ha-por-tras-da-aparente-melhora-da-economia-da-venezuela.ghtml", "URL")</f>
        <v/>
      </c>
      <c r="K1166">
        <f>HYPERLINK("https://raw.githubusercontent.com/marcosmapl/dataset_imigrantes/main/noticias_filtered/g1/venezuelanos/2019/11_dez/html/g1_9f927ec8-2315-11ed-b24f-6dbe51e79fca_3097.html", "HTML")</f>
        <v/>
      </c>
      <c r="L1166">
        <f>HYPERLINK("https://raw.githubusercontent.com/marcosmapl/dataset_imigrantes/main/noticias_filtered/g1/venezuelanos/2019/11_dez/txt/g1_9f927ec8-2315-11ed-b24f-6dbe51e79fca_3097.txt", "TXT")</f>
        <v/>
      </c>
    </row>
    <row r="1167">
      <c r="A1167" s="1" t="n">
        <v>1165</v>
      </c>
      <c r="B1167" t="n">
        <v>2019</v>
      </c>
      <c r="C1167" s="2" t="n">
        <v>43827.73251157408</v>
      </c>
      <c r="D1167" t="inlineStr">
        <is>
          <t>A CRITICA</t>
        </is>
      </c>
      <c r="E1167" t="inlineStr">
        <is>
          <t>VENEZUELANOS</t>
        </is>
      </c>
      <c r="F1167" t="inlineStr"/>
      <c r="G1167" t="inlineStr">
        <is>
          <t>AFP</t>
        </is>
      </c>
      <c r="H1167" t="inlineStr">
        <is>
          <t>VENEZUELA EXIGE QUE BRASIL ENTREGUE MILITARES LOCALIZADOS EM RORAIMA</t>
        </is>
      </c>
      <c r="I1167" t="inlineStr">
        <is>
          <t>"ELES ESTAVAM DESARMADOS E FORAM LEVADOS PARA BOA VISTA (CAPITAL DO ESTADO), ONDE ESTÃO SENDO ENTREVISTADOS", DISSE UMA DECLARAÇÃO CONJUNTA DOS MINISTÉRIOS DAS RELAÇÕES EXTERIORES E DA DEFESA</t>
        </is>
      </c>
      <c r="J1167">
        <f>HYPERLINK("https://www.acritica.com/venezuela-exige-que-brasil-entregue-militares-localizados-em-roraima-1.51632", "URL")</f>
        <v/>
      </c>
      <c r="K1167">
        <f>HYPERLINK("https://raw.githubusercontent.com/marcosmapl/dataset_imigrantes/main/noticias_filtered/a_critica/venezuelanos/2019/11_dez/html/1.51632_517.html", "HTML")</f>
        <v/>
      </c>
      <c r="L1167">
        <f>HYPERLINK("https://raw.githubusercontent.com/marcosmapl/dataset_imigrantes/main/noticias_filtered/a_critica/venezuelanos/2019/11_dez/txt/1.51632_517.txt", "TXT")</f>
        <v/>
      </c>
    </row>
    <row r="1168">
      <c r="A1168" s="1" t="n">
        <v>1166</v>
      </c>
      <c r="B1168" t="n">
        <v>2019</v>
      </c>
      <c r="C1168" s="2" t="n">
        <v>43827.49095451389</v>
      </c>
      <c r="D1168" t="inlineStr">
        <is>
          <t>G1</t>
        </is>
      </c>
      <c r="E1168" t="inlineStr">
        <is>
          <t>HAITIANOS</t>
        </is>
      </c>
      <c r="F1168" t="inlineStr">
        <is>
          <t>COMO SERÁ?</t>
        </is>
      </c>
      <c r="G1168" t="inlineStr">
        <is>
          <t>COMO SERÁ</t>
        </is>
      </c>
      <c r="H1168" t="inlineStr">
        <is>
          <t>'SABORES E SABERES DO MUNDO': APRENDA A FAZER UMA SOPA DE ABÓBORA HAITIANA</t>
        </is>
      </c>
      <c r="I1168" t="inlineStr">
        <is>
          <t>SOPA DE ABÓBORA É UM PRATO HAITIANO QUE, ALÉM DE MUITO SABOR, TEM MUITA HISTÓRIA: REPRESENTA A INDEPENDÊNCIA DO PAÍS.</t>
        </is>
      </c>
      <c r="J1168">
        <f>HYPERLINK("https://g1.globo.com/como-sera/noticia/2019/12/28/sabores-e-saberes-do-mundo-aprenda-a-fazer-uma-sopa-de-abobora-haitiana.ghtml", "URL")</f>
        <v/>
      </c>
      <c r="K1168">
        <f>HYPERLINK("https://raw.githubusercontent.com/marcosmapl/dataset_imigrantes/main/noticias_filtered/g1/haitianos/2019/11_dez/html/g1_d48a0ce0-22ed-11ed-b24f-6dbe51e79fca_1689.html", "HTML")</f>
        <v/>
      </c>
      <c r="L1168">
        <f>HYPERLINK("https://raw.githubusercontent.com/marcosmapl/dataset_imigrantes/main/noticias_filtered/g1/haitianos/2019/11_dez/txt/g1_d48a0ce0-22ed-11ed-b24f-6dbe51e79fca_1689.txt", "TXT")</f>
        <v/>
      </c>
    </row>
    <row r="1169">
      <c r="A1169" s="1" t="n">
        <v>1167</v>
      </c>
      <c r="B1169" t="n">
        <v>2019</v>
      </c>
      <c r="C1169" s="2" t="n">
        <v>43826.81397863426</v>
      </c>
      <c r="D1169" t="inlineStr">
        <is>
          <t>G1</t>
        </is>
      </c>
      <c r="E1169" t="inlineStr">
        <is>
          <t>VENEZUELANOS</t>
        </is>
      </c>
      <c r="F1169" t="inlineStr">
        <is>
          <t>RORAIMA</t>
        </is>
      </c>
      <c r="G1169" t="inlineStr">
        <is>
          <t>G1 RR — BOA VISTA</t>
        </is>
      </c>
      <c r="H1169" t="inlineStr">
        <is>
          <t>EXÉRCITO ENCONTRA CINCO MILITARES VENEZUELANOS EM TERRA INDÍGENA DE RR</t>
        </is>
      </c>
      <c r="I1169" t="inlineStr">
        <is>
          <t>MILITARES VENEZUELANOS ESTAVAM DESARMADOS E FORAM LEVADOS À CAPITAL BOA VISTA. HÁ QUATRO DIAS UM DESTACAMENTO DA FORÇA ARMADA NA VENEZUELA FOI INVADIDO; REGIÃO É EM ÁREA DE FRONTEIRA COM RORAIMA.</t>
        </is>
      </c>
      <c r="J1169">
        <f>HYPERLINK("https://g1.globo.com/rr/roraima/noticia/2019/12/27/exercito-encontra-cinco-militares-venezuelanos-em-terra-indigena-de-rr.ghtml", "URL")</f>
        <v/>
      </c>
      <c r="K1169">
        <f>HYPERLINK("https://raw.githubusercontent.com/marcosmapl/dataset_imigrantes/main/noticias_filtered/g1/venezuelanos/2019/11_dez/html/g1_db6b703c-232c-11ed-b24f-6dbe51e79fca_4330.html", "HTML")</f>
        <v/>
      </c>
      <c r="L1169">
        <f>HYPERLINK("https://raw.githubusercontent.com/marcosmapl/dataset_imigrantes/main/noticias_filtered/g1/venezuelanos/2019/11_dez/txt/g1_db6b703c-232c-11ed-b24f-6dbe51e79fca_4330.txt", "TXT")</f>
        <v/>
      </c>
    </row>
    <row r="1170">
      <c r="A1170" s="1" t="n">
        <v>1168</v>
      </c>
      <c r="B1170" t="n">
        <v>2019</v>
      </c>
      <c r="C1170" s="2" t="n">
        <v>43825.5125</v>
      </c>
      <c r="D1170" t="inlineStr">
        <is>
          <t>A CRITICA</t>
        </is>
      </c>
      <c r="E1170" t="inlineStr">
        <is>
          <t>HAITIANOS</t>
        </is>
      </c>
      <c r="F1170" t="inlineStr"/>
      <c r="G1170" t="inlineStr">
        <is>
          <t>PORTAL A CRÍTICA E AGÊNCIAS</t>
        </is>
      </c>
      <c r="H1170" t="inlineStr">
        <is>
          <t>SOLICITAÇÃO DE VISTO PARA CIDADÃOS HAITIANOS TEM NOVAS REGRAS NO BRASIL</t>
        </is>
      </c>
      <c r="I1170" t="inlineStr">
        <is>
          <t>SEGUNDO O MINISTÉRIO DA JUSTIÇA E O DAS RELAÇÕES EXTERIORES, A NOVA RESOLUÇÃO REDUZ OS PRAZOS E A BUROCRACIA PARA RETIRADA DO DOCUMENTO</t>
        </is>
      </c>
      <c r="J1170">
        <f>HYPERLINK("https://www.acritica.com/solicitac-o-de-visto-para-cidad-os-haitianos-tem-novas-regras-no-brasil-1.51364", "URL")</f>
        <v/>
      </c>
      <c r="K1170">
        <f>HYPERLINK("https://raw.githubusercontent.com/marcosmapl/dataset_imigrantes/main/noticias_filtered/a_critica/haitianos/2019/11_dez/html/1.51364_317.html", "HTML")</f>
        <v/>
      </c>
      <c r="L1170">
        <f>HYPERLINK("https://raw.githubusercontent.com/marcosmapl/dataset_imigrantes/main/noticias_filtered/a_critica/haitianos/2019/11_dez/txt/1.51364_317.txt", "TXT")</f>
        <v/>
      </c>
    </row>
    <row r="1171">
      <c r="A1171" s="1" t="n">
        <v>1169</v>
      </c>
      <c r="B1171" t="n">
        <v>2019</v>
      </c>
      <c r="C1171" s="2" t="n">
        <v>43825.0209168287</v>
      </c>
      <c r="D1171" t="inlineStr">
        <is>
          <t>G1</t>
        </is>
      </c>
      <c r="E1171" t="inlineStr">
        <is>
          <t>VENEZUELANOS</t>
        </is>
      </c>
      <c r="F1171" t="inlineStr">
        <is>
          <t>JORNAL NACIONAL</t>
        </is>
      </c>
      <c r="G1171" t="inlineStr"/>
      <c r="H1171" t="inlineStr">
        <is>
          <t>CRIANÇAS VENEZUELANAS ACABAM NAS RUAS APÓS CRUZAR FRONTEIRA EM BUSCA DE AJUDA HUMANITÁRIA</t>
        </is>
      </c>
      <c r="I1171" t="inlineStr">
        <is>
          <t>LEVANTAMENTO INDICA QUE, DE MAIO DE 2018 ATÉ NOVEMBRO DE 2019, 529 CRIANÇAS E ADOLESCENTES ATRAVESSARAM A FRONTEIRA DA VENEZUELA COM O BRASIL. A MAIORIA TEM ENTRE 13 E 17 ANOS.</t>
        </is>
      </c>
      <c r="J1171">
        <f>HYPERLINK("https://g1.globo.com/jornal-nacional/noticia/2019/12/25/criancas-venezuelanas-acabam-nas-ruas-apos-cruzar-fronteira-em-busca-de-ajuda-humanitaria.ghtml", "URL")</f>
        <v/>
      </c>
      <c r="K1171">
        <f>HYPERLINK("https://raw.githubusercontent.com/marcosmapl/dataset_imigrantes/main/noticias_filtered/g1/venezuelanos/2019/11_dez/html/g1_093a619c-2320-11ed-b24f-6dbe51e79fca_3658.html", "HTML")</f>
        <v/>
      </c>
      <c r="L1171">
        <f>HYPERLINK("https://raw.githubusercontent.com/marcosmapl/dataset_imigrantes/main/noticias_filtered/g1/venezuelanos/2019/11_dez/txt/g1_093a619c-2320-11ed-b24f-6dbe51e79fca_3658.txt", "TXT")</f>
        <v/>
      </c>
    </row>
    <row r="1172">
      <c r="A1172" s="1" t="n">
        <v>1170</v>
      </c>
      <c r="B1172" t="n">
        <v>2019</v>
      </c>
      <c r="C1172" s="2" t="n">
        <v>43824.90795318287</v>
      </c>
      <c r="D1172" t="inlineStr">
        <is>
          <t>G1</t>
        </is>
      </c>
      <c r="E1172" t="inlineStr">
        <is>
          <t>VENEZUELANOS</t>
        </is>
      </c>
      <c r="F1172" t="inlineStr">
        <is>
          <t>RIO GRANDE DO NORTE</t>
        </is>
      </c>
      <c r="G1172" t="inlineStr">
        <is>
          <t>SÉRGIO HENRIQUE SANTOS, INTER TV CABUGI</t>
        </is>
      </c>
      <c r="H1172" t="inlineStr">
        <is>
          <t>VOLUNTÁRIOS FAZEM CEIA DE NATAL PARA VENEZUELANOS REFUGIADOS NA CAPITAL POTIGUAR</t>
        </is>
      </c>
      <c r="I1172" t="inlineStr">
        <is>
          <t>ESTRANGEIROS QUE VIVEM NAS RUAS E EM UMA POUSADA NA ZONA OESTE DA CIDADE.</t>
        </is>
      </c>
      <c r="J1172">
        <f>HYPERLINK("https://g1.globo.com/rn/rio-grande-do-norte/noticia/2019/12/25/voluntarios-fazem-ceia-de-natal-para-venezuelanos-refugiados-na-capital-potiguar.ghtml", "URL")</f>
        <v/>
      </c>
      <c r="K1172">
        <f>HYPERLINK("https://raw.githubusercontent.com/marcosmapl/dataset_imigrantes/main/noticias_filtered/g1/venezuelanos/2019/11_dez/html/g1_d94ca714-2311-11ed-b24f-6dbe51e79fca_2937.html", "HTML")</f>
        <v/>
      </c>
      <c r="L1172">
        <f>HYPERLINK("https://raw.githubusercontent.com/marcosmapl/dataset_imigrantes/main/noticias_filtered/g1/venezuelanos/2019/11_dez/txt/g1_d94ca714-2311-11ed-b24f-6dbe51e79fca_2937.txt", "TXT")</f>
        <v/>
      </c>
    </row>
    <row r="1173">
      <c r="A1173" s="1" t="n">
        <v>1171</v>
      </c>
      <c r="B1173" t="n">
        <v>2019</v>
      </c>
      <c r="C1173" s="2" t="n">
        <v>43824.82763925926</v>
      </c>
      <c r="D1173" t="inlineStr">
        <is>
          <t>G1</t>
        </is>
      </c>
      <c r="E1173" t="inlineStr">
        <is>
          <t>VENEZUELANOS</t>
        </is>
      </c>
      <c r="F1173" t="inlineStr">
        <is>
          <t>RONDÔNIA</t>
        </is>
      </c>
      <c r="G1173" t="inlineStr">
        <is>
          <t>REDE AMAZÔNICA</t>
        </is>
      </c>
      <c r="H1173" t="inlineStr">
        <is>
          <t>VENEZUELANOS PARTICIPAM DE CEIA DE NATAL EM ABRIGO DE PORTO VELHO</t>
        </is>
      </c>
      <c r="I1173" t="inlineStr">
        <is>
          <t>MAIS DE 40 PESSOAS PARTICIPARAM DA CEIA NA CASA DE ACOLHIMENTO FREI DAMIÃO NO DIA 24 DE DEZEMBRO. NOITE FOI DE PRESENTES E ESPERANÇA PARA OS IMIGRANTES.</t>
        </is>
      </c>
      <c r="J1173">
        <f>HYPERLINK("https://g1.globo.com/ro/rondonia/noticia/2019/12/25/venezuelanos-participam-de-ceia-de-natal-em-abrigo-de-porto-velho.ghtml", "URL")</f>
        <v/>
      </c>
      <c r="K1173">
        <f>HYPERLINK("https://raw.githubusercontent.com/marcosmapl/dataset_imigrantes/main/noticias_filtered/g1/venezuelanos/2019/11_dez/html/g1_b0d13406-2322-11ed-b24f-6dbe51e79fca_3767.html", "HTML")</f>
        <v/>
      </c>
      <c r="L1173">
        <f>HYPERLINK("https://raw.githubusercontent.com/marcosmapl/dataset_imigrantes/main/noticias_filtered/g1/venezuelanos/2019/11_dez/txt/g1_b0d13406-2322-11ed-b24f-6dbe51e79fca_3767.txt", "TXT")</f>
        <v/>
      </c>
    </row>
    <row r="1174">
      <c r="A1174" s="1" t="n">
        <v>1172</v>
      </c>
      <c r="B1174" t="n">
        <v>2019</v>
      </c>
      <c r="C1174" s="2" t="n">
        <v>43824.60858796296</v>
      </c>
      <c r="D1174" t="inlineStr">
        <is>
          <t>A CRITICA</t>
        </is>
      </c>
      <c r="E1174" t="inlineStr">
        <is>
          <t>VENEZUELANOS</t>
        </is>
      </c>
      <c r="F1174" t="inlineStr"/>
      <c r="G1174" t="inlineStr">
        <is>
          <t>AFP</t>
        </is>
      </c>
      <c r="H1174" t="inlineStr">
        <is>
          <t>EM MENSAGEM DE NATAL, PAPA PEDE ESPERANÇA ÀS NAÇÕES AMERICANAS</t>
        </is>
      </c>
      <c r="I1174" t="inlineStr">
        <is>
          <t>LÍDER DA IGREJA CATÓLICA LANÇOU PALAVRAS ESPECÍFICAS PARA A VENEZUELA, PEDINDO QUE "O PEQUENO MENINO DE BELÉM ANIME O AMADO POVO VENEZUELANO" E QUE ELE POSSA RECEBER "A AJUDA DE QUE PRECISA"</t>
        </is>
      </c>
      <c r="J1174">
        <f>HYPERLINK("https://www.acritica.com/em-mensagem-de-natal-papa-pede-esperanca-as-nac-es-americanas-1.51412", "URL")</f>
        <v/>
      </c>
      <c r="K1174">
        <f>HYPERLINK("https://raw.githubusercontent.com/marcosmapl/dataset_imigrantes/main/noticias_filtered/a_critica/venezuelanos/2019/11_dez/html/1.51412_720.html", "HTML")</f>
        <v/>
      </c>
      <c r="L1174">
        <f>HYPERLINK("https://raw.githubusercontent.com/marcosmapl/dataset_imigrantes/main/noticias_filtered/a_critica/venezuelanos/2019/11_dez/txt/1.51412_720.txt", "TXT")</f>
        <v/>
      </c>
    </row>
    <row r="1175">
      <c r="A1175" s="1" t="n">
        <v>1173</v>
      </c>
      <c r="B1175" t="n">
        <v>2019</v>
      </c>
      <c r="C1175" s="2" t="n">
        <v>43824.554919375</v>
      </c>
      <c r="D1175" t="inlineStr">
        <is>
          <t>G1</t>
        </is>
      </c>
      <c r="E1175" t="inlineStr">
        <is>
          <t>VENEZUELANOS</t>
        </is>
      </c>
      <c r="F1175" t="inlineStr">
        <is>
          <t>RORAIMA</t>
        </is>
      </c>
      <c r="G1175" t="inlineStr">
        <is>
          <t>EMILY COSTA, G1 RR — BOA VISTA</t>
        </is>
      </c>
      <c r="H1175" t="inlineStr">
        <is>
          <t>VENEZUELANO PROCURADO PELA INTERPOL POR TRÁFICO E LAVAGEM DE DINHEIRO É PRESO EM BOA VISTA</t>
        </is>
      </c>
      <c r="I1175" t="inlineStr">
        <is>
          <t>ROBERTO ANTONIO ESPEJO CAMACHO ERA PROCURADO POR CRIMES COMETIDOS NA REPÚBLICA DOMINICANA. NO INÍCIO DESTE MÊS ELE TAMBÉM FOI PRESO POR LIGAÇÃO COM CONTRABANDO DE OURO EM RORAIMA.</t>
        </is>
      </c>
      <c r="J1175">
        <f>HYPERLINK("https://g1.globo.com/rr/roraima/noticia/2019/12/25/venezuelano-procurado-pela-interpol-e-preso-em-boa-vista.ghtml", "URL")</f>
        <v/>
      </c>
      <c r="K1175">
        <f>HYPERLINK("https://raw.githubusercontent.com/marcosmapl/dataset_imigrantes/main/noticias_filtered/g1/venezuelanos/2019/11_dez/html/g1_f6145156-232c-11ed-b24f-6dbe51e79fca_4336.html", "HTML")</f>
        <v/>
      </c>
      <c r="L1175">
        <f>HYPERLINK("https://raw.githubusercontent.com/marcosmapl/dataset_imigrantes/main/noticias_filtered/g1/venezuelanos/2019/11_dez/txt/g1_f6145156-232c-11ed-b24f-6dbe51e79fca_4336.txt", "TXT")</f>
        <v/>
      </c>
    </row>
    <row r="1176">
      <c r="A1176" s="1" t="n">
        <v>1174</v>
      </c>
      <c r="B1176" t="n">
        <v>2019</v>
      </c>
      <c r="C1176" s="2" t="n">
        <v>43824.52310813657</v>
      </c>
      <c r="D1176" t="inlineStr">
        <is>
          <t>G1</t>
        </is>
      </c>
      <c r="E1176" t="inlineStr">
        <is>
          <t>VENEZUELANOS</t>
        </is>
      </c>
      <c r="F1176" t="inlineStr">
        <is>
          <t>BAHIA</t>
        </is>
      </c>
      <c r="G1176" t="inlineStr">
        <is>
          <t>G1 BA</t>
        </is>
      </c>
      <c r="H1176" t="inlineStr">
        <is>
          <t>MAIS DE 50 REFUGIADOS VENEZUELANOS SÃO ACOLHIDOS NA BASE AÉREA DE SALVADOR</t>
        </is>
      </c>
      <c r="I1176" t="inlineStr">
        <is>
          <t>NO LOCAL, VENEZUELANOS JANTARAM E DESCANSARAM. ELES SERÃO ENCAMINHADOS PARA DIVERSAS CIDADES DO NORDESTE BRASILEIRO.</t>
        </is>
      </c>
      <c r="J1176">
        <f>HYPERLINK("https://g1.globo.com/ba/bahia/noticia/2019/12/25/mai-de-50-refugiados-venezuelanos-sao-acolhidos-na-base-aerea-de-salvador.ghtml", "URL")</f>
        <v/>
      </c>
      <c r="K1176">
        <f>HYPERLINK("https://raw.githubusercontent.com/marcosmapl/dataset_imigrantes/main/noticias_filtered/g1/venezuelanos/2019/11_dez/html/g1_8191f320-231c-11ed-b24f-6dbe51e79fca_3448.html", "HTML")</f>
        <v/>
      </c>
      <c r="L1176">
        <f>HYPERLINK("https://raw.githubusercontent.com/marcosmapl/dataset_imigrantes/main/noticias_filtered/g1/venezuelanos/2019/11_dez/txt/g1_8191f320-231c-11ed-b24f-6dbe51e79fca_3448.txt", "TXT")</f>
        <v/>
      </c>
    </row>
    <row r="1177">
      <c r="A1177" s="1" t="n">
        <v>1175</v>
      </c>
      <c r="B1177" t="n">
        <v>2019</v>
      </c>
      <c r="C1177" s="2" t="n">
        <v>43824.02925465278</v>
      </c>
      <c r="D1177" t="inlineStr">
        <is>
          <t>G1</t>
        </is>
      </c>
      <c r="E1177" t="inlineStr">
        <is>
          <t>HAITIANOS</t>
        </is>
      </c>
      <c r="F1177" t="inlineStr">
        <is>
          <t>SANTA CATARINA</t>
        </is>
      </c>
      <c r="G1177" t="inlineStr">
        <is>
          <t>LISANDRA OLIVEIRA, NSC TV</t>
        </is>
      </c>
      <c r="H1177" t="inlineStr">
        <is>
          <t>POLÍCIA IDENTIFICA MOTORISTA SUSPEITO DE ATROPELAR CASAL DE HAITIANOS EM SC</t>
        </is>
      </c>
      <c r="I1177" t="inlineStr">
        <is>
          <t>HOMEM SE APRESENTOU À POLÍCIA, MAS NÃO FOI PRESO. HAITIANO MORREU ATROPELADO E MULHER, QUE ESTAVA GRÁVIDA, PERDEU O BEBÊ. ELA SEGUE INTERNADA.</t>
        </is>
      </c>
      <c r="J1177">
        <f>HYPERLINK("https://g1.globo.com/sc/santa-catarina/noticia/2019/12/24/policia-identifica-motorista-suspeito-de-atropelar-casal-de-haitianos-em-sc.ghtml", "URL")</f>
        <v/>
      </c>
      <c r="K1177">
        <f>HYPERLINK("https://raw.githubusercontent.com/marcosmapl/dataset_imigrantes/main/noticias_filtered/g1/haitianos/2019/11_dez/html/g1_ab9f82c2-22f9-11ed-b24f-6dbe51e79fca_2177.html", "HTML")</f>
        <v/>
      </c>
      <c r="L1177">
        <f>HYPERLINK("https://raw.githubusercontent.com/marcosmapl/dataset_imigrantes/main/noticias_filtered/g1/haitianos/2019/11_dez/txt/g1_ab9f82c2-22f9-11ed-b24f-6dbe51e79fca_2177.txt", "TXT")</f>
        <v/>
      </c>
    </row>
    <row r="1178">
      <c r="A1178" s="1" t="n">
        <v>1176</v>
      </c>
      <c r="B1178" t="n">
        <v>2019</v>
      </c>
      <c r="C1178" s="2" t="n">
        <v>43823.885165</v>
      </c>
      <c r="D1178" t="inlineStr">
        <is>
          <t>G1</t>
        </is>
      </c>
      <c r="E1178" t="inlineStr">
        <is>
          <t>VENEZUELANOS</t>
        </is>
      </c>
      <c r="F1178" t="inlineStr">
        <is>
          <t>RORAIMA</t>
        </is>
      </c>
      <c r="G1178" t="inlineStr">
        <is>
          <t>REDE AMAZÔNICA RORAIMA — BOA VISTA</t>
        </is>
      </c>
      <c r="H1178" t="inlineStr">
        <is>
          <t>VENEZUELANOS QUE VIVEM EM ABRIGO PREPARAM CEIA DE NATAL TÍPICA EM BOA VISTA</t>
        </is>
      </c>
      <c r="I1178" t="inlineStr">
        <is>
          <t>AÇÃO OCORRE NO CENTRO DE ACOLHIMENTO FRATERNIDADE SEM FRONTEIRAS E DEVE BENEFICIAR 275 FAMÍLIAS.</t>
        </is>
      </c>
      <c r="J1178">
        <f>HYPERLINK("https://g1.globo.com/rr/roraima/noticia/2019/12/24/venezuelanos-que-vivem-em-abrigo-preparam-ceia-de-natal-tipica-em-boa-vista.ghtml", "URL")</f>
        <v/>
      </c>
      <c r="K1178">
        <f>HYPERLINK("https://raw.githubusercontent.com/marcosmapl/dataset_imigrantes/main/noticias_filtered/g1/venezuelanos/2019/11_dez/html/g1_98271b7c-230f-11ed-b24f-6dbe51e79fca_2806.html", "HTML")</f>
        <v/>
      </c>
      <c r="L1178">
        <f>HYPERLINK("https://raw.githubusercontent.com/marcosmapl/dataset_imigrantes/main/noticias_filtered/g1/venezuelanos/2019/11_dez/txt/g1_98271b7c-230f-11ed-b24f-6dbe51e79fca_2806.txt", "TXT")</f>
        <v/>
      </c>
    </row>
    <row r="1179">
      <c r="A1179" s="1" t="n">
        <v>1177</v>
      </c>
      <c r="B1179" t="n">
        <v>2019</v>
      </c>
      <c r="C1179" s="2" t="n">
        <v>43823.67486791666</v>
      </c>
      <c r="D1179" t="inlineStr">
        <is>
          <t>G1</t>
        </is>
      </c>
      <c r="E1179" t="inlineStr">
        <is>
          <t>VENEZUELANOS</t>
        </is>
      </c>
      <c r="F1179" t="inlineStr">
        <is>
          <t>SANTA CATARINA</t>
        </is>
      </c>
      <c r="G1179" t="inlineStr">
        <is>
          <t>KAROLLAYNE ROSA E VALÉRIA MARTINS, G1 SC E NSC TV</t>
        </is>
      </c>
      <c r="H1179" t="inlineStr">
        <is>
          <t>IMIGRANTES VENEZUELANOS QUE DIZEM TER CHEGADO 'OBRIGADOS' A FLORIANÓPOLIS RETORNAM A ITAJAÍ</t>
        </is>
      </c>
      <c r="I1179" t="inlineStr">
        <is>
          <t>VAN ENVIADA POR PREFEITURA DA CIDADE DO VALE DEIXOU A CAPITAL NA TARDE DESTA TERÇA. FAMÍLIAS CHEGARAM NA SEGUNDA-FEIRA EM FLORIANÓPOLIS E DISSERAM QUE FORAM OBRIGADOS A ENTRAR EM VEÍCULO.</t>
        </is>
      </c>
      <c r="J1179">
        <f>HYPERLINK("https://g1.globo.com/sc/santa-catarina/noticia/2019/12/24/imigrante-indigenas-que-afirmam-terem-sido-levados-obrigados-a-florianopolis-retornam-a-itajai.ghtml", "URL")</f>
        <v/>
      </c>
      <c r="K1179">
        <f>HYPERLINK("https://raw.githubusercontent.com/marcosmapl/dataset_imigrantes/main/noticias_filtered/g1/venezuelanos/2019/11_dez/html/g1_787d165a-231e-11ed-b24f-6dbe51e79fca_3563.html", "HTML")</f>
        <v/>
      </c>
      <c r="L1179">
        <f>HYPERLINK("https://raw.githubusercontent.com/marcosmapl/dataset_imigrantes/main/noticias_filtered/g1/venezuelanos/2019/11_dez/txt/g1_787d165a-231e-11ed-b24f-6dbe51e79fca_3563.txt", "TXT")</f>
        <v/>
      </c>
    </row>
    <row r="1180">
      <c r="A1180" s="1" t="n">
        <v>1178</v>
      </c>
      <c r="B1180" t="n">
        <v>2019</v>
      </c>
      <c r="C1180" s="2" t="n">
        <v>43823.33394449074</v>
      </c>
      <c r="D1180" t="inlineStr">
        <is>
          <t>G1</t>
        </is>
      </c>
      <c r="E1180" t="inlineStr">
        <is>
          <t>VENEZUELANOS</t>
        </is>
      </c>
      <c r="F1180" t="inlineStr">
        <is>
          <t>CEARÁ</t>
        </is>
      </c>
      <c r="G1180" t="inlineStr">
        <is>
          <t>THEYSE VIANA, G1 CE</t>
        </is>
      </c>
      <c r="H1180" t="inlineStr">
        <is>
          <t>EX-REFUGIADO VENEZUELANO E MULHER PASSAM PRIMEIRO NATAL LONGE DA FAMÍLIA, EM FORTALEZA</t>
        </is>
      </c>
      <c r="I1180" t="inlineStr">
        <is>
          <t>FILENS STEVEN E VANESSA RUIZ ESTÃO NA CAPITAL CEARENSE HÁ CINCO MESES, ONDE CONSEGUIRAM EMPREGOS FORMAIS E REFÚGIO DOS PROBLEMAS POLÍTICOS E SOCIOECONÔMICOS DA VENEZUELA.</t>
        </is>
      </c>
      <c r="J1180">
        <f>HYPERLINK("https://g1.globo.com/ce/ceara/noticia/2019/12/24/ex-refugiado-venezuelano-e-mulher-passam-primeiro-natal-longe-da-familia-em-fortaleza.ghtml", "URL")</f>
        <v/>
      </c>
      <c r="K1180">
        <f>HYPERLINK("https://raw.githubusercontent.com/marcosmapl/dataset_imigrantes/main/noticias_filtered/g1/venezuelanos/2019/11_dez/html/g1_35dcb4ba-2321-11ed-b24f-6dbe51e79fca_3685.html", "HTML")</f>
        <v/>
      </c>
      <c r="L1180">
        <f>HYPERLINK("https://raw.githubusercontent.com/marcosmapl/dataset_imigrantes/main/noticias_filtered/g1/venezuelanos/2019/11_dez/txt/g1_35dcb4ba-2321-11ed-b24f-6dbe51e79fca_3685.txt", "TXT")</f>
        <v/>
      </c>
    </row>
    <row r="1181">
      <c r="A1181" s="1" t="n">
        <v>1179</v>
      </c>
      <c r="B1181" t="n">
        <v>2019</v>
      </c>
      <c r="C1181" s="2" t="n">
        <v>43823.10883104167</v>
      </c>
      <c r="D1181" t="inlineStr">
        <is>
          <t>G1</t>
        </is>
      </c>
      <c r="E1181" t="inlineStr">
        <is>
          <t>VENEZUELANOS</t>
        </is>
      </c>
      <c r="F1181" t="inlineStr">
        <is>
          <t>SANTA CATARINA</t>
        </is>
      </c>
      <c r="G1181" t="inlineStr">
        <is>
          <t>G1 SC</t>
        </is>
      </c>
      <c r="H1181" t="inlineStr">
        <is>
          <t>PREFEITURA REGISTRA BOLETIM DE OCORRÊNCIA APÓS VENEZUELANOS CHEGAREM A FLORIANÓPOLIS 'OBRIGADOS'</t>
        </is>
      </c>
      <c r="I1181" t="inlineStr">
        <is>
          <t>"DESTINO FINAL ERA ITAJAÍ, LÁ FORAM OBRIGADOS A EMBARCAR E VIR ATÉ A CAPITAL", EXPLICOU SECRETÁRIA DA ASSISTÊNCIA SOCIAL DE FLORIANÓPOLIS.  CASO OCORREU NA SEGUNDA E PREFEITURA DE ITAJAÍ NEGA TRANSFERÊNCIA DE IMIGRANTES.</t>
        </is>
      </c>
      <c r="J1181">
        <f>HYPERLINK("https://g1.globo.com/sc/santa-catarina/noticia/2019/12/23/prefeitura-registra-boletim-de-ocorrencia-apos-venezuelanos-chegarem-a-florianopolis-obrigados.ghtml", "URL")</f>
        <v/>
      </c>
      <c r="K1181">
        <f>HYPERLINK("https://raw.githubusercontent.com/marcosmapl/dataset_imigrantes/main/noticias_filtered/g1/venezuelanos/2019/11_dez/html/g1_5373be34-2316-11ed-b24f-6dbe51e79fca_3140.html", "HTML")</f>
        <v/>
      </c>
      <c r="L1181">
        <f>HYPERLINK("https://raw.githubusercontent.com/marcosmapl/dataset_imigrantes/main/noticias_filtered/g1/venezuelanos/2019/11_dez/txt/g1_5373be34-2316-11ed-b24f-6dbe51e79fca_3140.txt", "TXT")</f>
        <v/>
      </c>
    </row>
    <row r="1182">
      <c r="A1182" s="1" t="n">
        <v>1180</v>
      </c>
      <c r="B1182" t="n">
        <v>2019</v>
      </c>
      <c r="C1182" s="2" t="n">
        <v>43822.91672252315</v>
      </c>
      <c r="D1182" t="inlineStr">
        <is>
          <t>G1</t>
        </is>
      </c>
      <c r="E1182" t="inlineStr">
        <is>
          <t>HAITIANOS</t>
        </is>
      </c>
      <c r="F1182" t="inlineStr">
        <is>
          <t>SANTA CATARINA</t>
        </is>
      </c>
      <c r="G1182" t="inlineStr">
        <is>
          <t>G1 SC</t>
        </is>
      </c>
      <c r="H1182" t="inlineStr">
        <is>
          <t>HAITIANO MORRE ATROPELADO E MULHER GRÁVIDA FICA FERIDA EM RODOVIA NO NORTE DE SC</t>
        </is>
      </c>
      <c r="I1182" t="inlineStr">
        <is>
          <t>MOTORISTA QUE ATINGIU CASAL NO ACOSTAMENTO EM ARAQUARI FUGIU SEM PRESTAR SOCORRO E AINDA NÃO FOI IDENTIFICADO, SEGUNDO POLÍCIA MILITAR RODOVIÁRIA.</t>
        </is>
      </c>
      <c r="J1182">
        <f>HYPERLINK("https://g1.globo.com/sc/santa-catarina/noticia/2019/12/23/haitiano-morre-atropelado-e-mulher-gravida-fica-ferida-em-rodovia-no-norte-de-sc.ghtml", "URL")</f>
        <v/>
      </c>
      <c r="K1182">
        <f>HYPERLINK("https://raw.githubusercontent.com/marcosmapl/dataset_imigrantes/main/noticias_filtered/g1/haitianos/2019/11_dez/html/g1_250464b6-22f5-11ed-b24f-6dbe51e79fca_1934.html", "HTML")</f>
        <v/>
      </c>
      <c r="L1182">
        <f>HYPERLINK("https://raw.githubusercontent.com/marcosmapl/dataset_imigrantes/main/noticias_filtered/g1/haitianos/2019/11_dez/txt/g1_250464b6-22f5-11ed-b24f-6dbe51e79fca_1934.txt", "TXT")</f>
        <v/>
      </c>
    </row>
    <row r="1183">
      <c r="A1183" s="1" t="n">
        <v>1181</v>
      </c>
      <c r="B1183" t="n">
        <v>2019</v>
      </c>
      <c r="C1183" s="2" t="n">
        <v>43822.74332688657</v>
      </c>
      <c r="D1183" t="inlineStr">
        <is>
          <t>G1</t>
        </is>
      </c>
      <c r="E1183" t="inlineStr">
        <is>
          <t>VENEZUELANOS</t>
        </is>
      </c>
      <c r="F1183" t="inlineStr">
        <is>
          <t>RORAIMA</t>
        </is>
      </c>
      <c r="G1183" t="inlineStr">
        <is>
          <t>G1 RR</t>
        </is>
      </c>
      <c r="H1183" t="inlineStr">
        <is>
          <t>CRIANÇAS RECEBEM BRINQUEDOS DOADOS EM CAMPANHA DE NATAL DA REDE AMAZÔNICA EM RR</t>
        </is>
      </c>
      <c r="I1183" t="inlineStr">
        <is>
          <t>AÇÃO BENEFICIOU 400 CRIANÇAS VENEZUELANAS EM BOA VISTA.</t>
        </is>
      </c>
      <c r="J1183">
        <f>HYPERLINK("https://g1.globo.com/rr/roraima/noticia/2019/12/23/criancas-recebem-brinquedos-doados-em-campanha-de-natal-da-rede-amazonica-em-rr.ghtml", "URL")</f>
        <v/>
      </c>
      <c r="K1183">
        <f>HYPERLINK("https://raw.githubusercontent.com/marcosmapl/dataset_imigrantes/main/noticias_filtered/g1/venezuelanos/2019/11_dez/html/g1_677e1c08-232a-11ed-b24f-6dbe51e79fca_4177.html", "HTML")</f>
        <v/>
      </c>
      <c r="L1183">
        <f>HYPERLINK("https://raw.githubusercontent.com/marcosmapl/dataset_imigrantes/main/noticias_filtered/g1/venezuelanos/2019/11_dez/txt/g1_677e1c08-232a-11ed-b24f-6dbe51e79fca_4177.txt", "TXT")</f>
        <v/>
      </c>
    </row>
    <row r="1184">
      <c r="A1184" s="1" t="n">
        <v>1182</v>
      </c>
      <c r="B1184" t="n">
        <v>2019</v>
      </c>
      <c r="C1184" s="2" t="n">
        <v>43822.71249371528</v>
      </c>
      <c r="D1184" t="inlineStr">
        <is>
          <t>G1</t>
        </is>
      </c>
      <c r="E1184" t="inlineStr">
        <is>
          <t>HAITIANOS</t>
        </is>
      </c>
      <c r="F1184" t="inlineStr">
        <is>
          <t>MUNDO</t>
        </is>
      </c>
      <c r="G1184" t="inlineStr">
        <is>
          <t>G1</t>
        </is>
      </c>
      <c r="H1184" t="inlineStr">
        <is>
          <t>COM 30 MIL PEDIDOS DE REFÚGIO PENDENTES, GOVERNO FACILITA AUTORIZAÇÃO DE RESIDÊNCIA PARA HAITIANOS</t>
        </is>
      </c>
      <c r="I1184" t="inlineStr">
        <is>
          <t>SOLICITANTES PODERÃO APRESENTAR SOMENTE OS DOCUMENTOS QUE TIVEREM EM MÃOS. SEGUNDO MINISTÉRIO DA JUSTIÇA E SEGURANÇA PÚBLICA, IMIGRAÇÃO DE CIDADÃOS DO HAITI OCORRE DEVIDO AOS DESASTRES NATURAIS NO PAÍS — CONDIÇÃO QUE NÃO SE ENQUADRA NAS CATEGORIAS DE REFÚGIO.</t>
        </is>
      </c>
      <c r="J1184">
        <f>HYPERLINK("https://g1.globo.com/mundo/noticia/2019/12/23/com-30-mil-pedidos-de-refugio-pendentes-governo-facilita-autorizacao-de-residencia-para-haitianos.ghtml", "URL")</f>
        <v/>
      </c>
      <c r="K1184">
        <f>HYPERLINK("https://raw.githubusercontent.com/marcosmapl/dataset_imigrantes/main/noticias_filtered/g1/haitianos/2019/11_dez/html/g1_9e101be0-22f3-11ed-b24f-6dbe51e79fca_1849.html", "HTML")</f>
        <v/>
      </c>
      <c r="L1184">
        <f>HYPERLINK("https://raw.githubusercontent.com/marcosmapl/dataset_imigrantes/main/noticias_filtered/g1/haitianos/2019/11_dez/txt/g1_9e101be0-22f3-11ed-b24f-6dbe51e79fca_1849.txt", "TXT")</f>
        <v/>
      </c>
    </row>
    <row r="1185">
      <c r="A1185" s="1" t="n">
        <v>1183</v>
      </c>
      <c r="B1185" t="n">
        <v>2019</v>
      </c>
      <c r="C1185" s="2" t="n">
        <v>43822.68937820602</v>
      </c>
      <c r="D1185" t="inlineStr">
        <is>
          <t>G1</t>
        </is>
      </c>
      <c r="E1185" t="inlineStr">
        <is>
          <t>VENEZUELANOS</t>
        </is>
      </c>
      <c r="F1185" t="inlineStr">
        <is>
          <t>MARANHÃO</t>
        </is>
      </c>
      <c r="G1185" t="inlineStr">
        <is>
          <t>G1 MA — SÃO LUÍS, MA</t>
        </is>
      </c>
      <c r="H1185" t="inlineStr">
        <is>
          <t>BRIGA ENTRE ÍNDIOS VENEZUELANOS TERMINA COM DOIS ESFAQUEADOS NO MARANHÃO</t>
        </is>
      </c>
      <c r="I1185" t="inlineStr">
        <is>
          <t>ESTA FOI A TERCEIRA CONFUSÃO ENTRE OS INDÍGENAS, QUE CHEGARAM À FUNAI FUGINDO DA CRISE HUMANITÁRIA NA VENEZUELA HÁ CERCA DE DOIS MESES</t>
        </is>
      </c>
      <c r="J1185">
        <f>HYPERLINK("https://g1.globo.com/ma/maranhao/noticia/2019/12/23/briga-entre-indios-venezuelanos-termina-com-dois-esfaqueados.ghtml", "URL")</f>
        <v/>
      </c>
      <c r="K1185">
        <f>HYPERLINK("https://raw.githubusercontent.com/marcosmapl/dataset_imigrantes/main/noticias_filtered/g1/venezuelanos/2019/11_dez/html/g1_0ff79ba8-2316-11ed-b24f-6dbe51e79fca_3124.html", "HTML")</f>
        <v/>
      </c>
      <c r="L1185">
        <f>HYPERLINK("https://raw.githubusercontent.com/marcosmapl/dataset_imigrantes/main/noticias_filtered/g1/venezuelanos/2019/11_dez/txt/g1_0ff79ba8-2316-11ed-b24f-6dbe51e79fca_3124.txt", "TXT")</f>
        <v/>
      </c>
    </row>
    <row r="1186">
      <c r="A1186" s="1" t="n">
        <v>1184</v>
      </c>
      <c r="B1186" t="n">
        <v>2019</v>
      </c>
      <c r="C1186" s="2" t="n">
        <v>43821.72166959491</v>
      </c>
      <c r="D1186" t="inlineStr">
        <is>
          <t>G1</t>
        </is>
      </c>
      <c r="E1186" t="inlineStr">
        <is>
          <t>HAITIANOS</t>
        </is>
      </c>
      <c r="F1186" t="inlineStr">
        <is>
          <t>RORAIMA</t>
        </is>
      </c>
      <c r="G1186" t="inlineStr">
        <is>
          <t>G1 RR</t>
        </is>
      </c>
      <c r="H1186" t="inlineStr">
        <is>
          <t>VOCÊ VIU? IMIGRAÇÃO DE HAITIANOS, ASSALTO A CASA DE DEPUTADO E AUMENTO PARA DELEGADOS EM RR</t>
        </is>
      </c>
      <c r="I1186" t="inlineStr">
        <is>
          <t>VEJA AS NOTÍCIAS MAIS LIDAS NO G1 RORAIMA ENTRE 15 E 21 DE DEZEMBRO.</t>
        </is>
      </c>
      <c r="J1186">
        <f>HYPERLINK("https://g1.globo.com/rr/roraima/noticia/2019/12/22/voce-viu-imigracao-de-haitianos-assalto-a-casa-de-deputado-e-aumento-para-delegados-em-rr.ghtml", "URL")</f>
        <v/>
      </c>
      <c r="K1186">
        <f>HYPERLINK("https://raw.githubusercontent.com/marcosmapl/dataset_imigrantes/main/noticias_filtered/g1/haitianos/2019/11_dez/html/g1_bcedd458-22f3-11ed-b24f-6dbe51e79fca_1855.html", "HTML")</f>
        <v/>
      </c>
      <c r="L1186">
        <f>HYPERLINK("https://raw.githubusercontent.com/marcosmapl/dataset_imigrantes/main/noticias_filtered/g1/haitianos/2019/11_dez/txt/g1_bcedd458-22f3-11ed-b24f-6dbe51e79fca_1855.txt", "TXT")</f>
        <v/>
      </c>
    </row>
    <row r="1187">
      <c r="A1187" s="1" t="n">
        <v>1185</v>
      </c>
      <c r="B1187" t="n">
        <v>2019</v>
      </c>
      <c r="C1187" s="2" t="n">
        <v>43820.44738828704</v>
      </c>
      <c r="D1187" t="inlineStr">
        <is>
          <t>G1</t>
        </is>
      </c>
      <c r="E1187" t="inlineStr">
        <is>
          <t>VENEZUELANOS</t>
        </is>
      </c>
      <c r="F1187" t="inlineStr">
        <is>
          <t>COMO SERÁ?</t>
        </is>
      </c>
      <c r="G1187" t="inlineStr"/>
      <c r="H1187" t="inlineStr">
        <is>
          <t>APRENDA A FAZER AHYACA, PRATO TÍPICO NATALINO DA VENEZUELA</t>
        </is>
      </c>
      <c r="I1187" t="inlineStr">
        <is>
          <t>NA SÉRIE 'SABERES E SABORES DO MUNDO', A REFUGIADA VENEZUELANA ADRIANA FALA SOBRE SUA NOVA VIDA NO BRASIL E ENSINA RECEITA À REPÓRTER MARIANE SALERNO, DO COMO SERÁ.</t>
        </is>
      </c>
      <c r="J1187">
        <f>HYPERLINK("https://g1.globo.com/como-sera/interatividade/noticia/2019/12/21/aprenda-a-fazer-ahyaca-prato-tipico-natalino-da-venezuela.ghtml", "URL")</f>
        <v/>
      </c>
      <c r="K1187">
        <f>HYPERLINK("https://raw.githubusercontent.com/marcosmapl/dataset_imigrantes/main/noticias_filtered/g1/venezuelanos/2019/11_dez/html/g1_35f2d40a-2319-11ed-b24f-6dbe51e79fca_3303.html", "HTML")</f>
        <v/>
      </c>
      <c r="L1187">
        <f>HYPERLINK("https://raw.githubusercontent.com/marcosmapl/dataset_imigrantes/main/noticias_filtered/g1/venezuelanos/2019/11_dez/txt/g1_35f2d40a-2319-11ed-b24f-6dbe51e79fca_3303.txt", "TXT")</f>
        <v/>
      </c>
    </row>
    <row r="1188">
      <c r="A1188" s="1" t="n">
        <v>1186</v>
      </c>
      <c r="B1188" t="n">
        <v>2019</v>
      </c>
      <c r="C1188" s="2" t="n">
        <v>43820.03007166667</v>
      </c>
      <c r="D1188" t="inlineStr">
        <is>
          <t>G1</t>
        </is>
      </c>
      <c r="E1188" t="inlineStr">
        <is>
          <t>VENEZUELANOS</t>
        </is>
      </c>
      <c r="F1188" t="inlineStr">
        <is>
          <t>PARÁ</t>
        </is>
      </c>
      <c r="G1188" t="inlineStr">
        <is>
          <t>G1 PA — BELÉM</t>
        </is>
      </c>
      <c r="H1188" t="inlineStr">
        <is>
          <t>MPF RECOMENDA MEDIDAS DE ABRIGO E ASSISTÊNCIA HUMANITÁRIA A REFUGIADOS INDÍGENAS VENEZUELANOS EM TODO O PA</t>
        </is>
      </c>
      <c r="I1188" t="inlineStr">
        <is>
          <t>A RECOMENDAÇÃO FOI ENVIADA NESTA SEXTA, 20, À CASA CIVIL DA PRESIDÊNCIA DA REPÚBLICA, AO GOVERNO DO PARÁ E À PREFEITURA DE ANANINDEUA.</t>
        </is>
      </c>
      <c r="J1188">
        <f>HYPERLINK("https://g1.globo.com/pa/para/noticia/2019/12/20/mpf-recomenda-medidas-de-abrigo-e-assistencia-humanitaria-a-refugiados-indigenas-venezuelanos-em-todo-o-pa.ghtml", "URL")</f>
        <v/>
      </c>
      <c r="K1188">
        <f>HYPERLINK("https://raw.githubusercontent.com/marcosmapl/dataset_imigrantes/main/noticias_filtered/g1/venezuelanos/2019/11_dez/html/g1_4cef061e-231a-11ed-b24f-6dbe51e79fca_3328.html", "HTML")</f>
        <v/>
      </c>
      <c r="L1188">
        <f>HYPERLINK("https://raw.githubusercontent.com/marcosmapl/dataset_imigrantes/main/noticias_filtered/g1/venezuelanos/2019/11_dez/txt/g1_4cef061e-231a-11ed-b24f-6dbe51e79fca_3328.txt", "TXT")</f>
        <v/>
      </c>
    </row>
    <row r="1189">
      <c r="A1189" s="1" t="n">
        <v>1187</v>
      </c>
      <c r="B1189" t="n">
        <v>2019</v>
      </c>
      <c r="C1189" s="2" t="n">
        <v>43817.50972222222</v>
      </c>
      <c r="D1189" t="inlineStr">
        <is>
          <t>PORTAL AMAZONIA</t>
        </is>
      </c>
      <c r="E1189" t="inlineStr">
        <is>
          <t>VENEZUELANOS</t>
        </is>
      </c>
      <c r="F1189" t="inlineStr">
        <is>
          <t>EDUCAÇÃO</t>
        </is>
      </c>
      <c r="G1189" t="inlineStr">
        <is>
          <t>REDAÇÃO</t>
        </is>
      </c>
      <c r="H1189" t="inlineStr">
        <is>
          <t>COMEÇARAM AS MATRÍCULAS DE NOVOS ALUNOS DA REDE PÚBLICA MUNICIPAL E ESTADUAL</t>
        </is>
      </c>
      <c r="I1189" t="inlineStr">
        <is>
          <t>AS MATRÍCULAS PARA NOVOS ALUNOS DA REDE PÚBLICA DE ENSINO DE MANAUS E DO AMAZONAS SERÃO ATÉ O DIA 20 JANEIRO. O PROCEDIMENTO PODERÁ SER REALIZADO VIA INTERNET, POR MEIO DO SITE WWW.MATRICULAS.AM.GOV.BR, OU PRESENCIALMENTE, DAS 8H ÀS 17H, EM TODAS AS</t>
        </is>
      </c>
      <c r="J1189">
        <f>HYPERLINK("https://portalamazonia.com/noticias/educacao/comecaram-as-matriculas-de-novos-alunos-da-rede-publica-municipal-e-estadual", "URL")</f>
        <v/>
      </c>
      <c r="K1189">
        <f>HYPERLINK("https://raw.githubusercontent.com/marcosmapl/dataset_imigrantes/main/noticias_filtered/portal_amazonia/venezuelanos/2019/11_dez/html/21546.21546_1402.html", "HTML")</f>
        <v/>
      </c>
      <c r="L1189">
        <f>HYPERLINK("https://raw.githubusercontent.com/marcosmapl/dataset_imigrantes/main/noticias_filtered/portal_amazonia/venezuelanos/2019/11_dez/txt/21546.21546_1402.txt", "TXT")</f>
        <v/>
      </c>
    </row>
    <row r="1190">
      <c r="A1190" s="1" t="n">
        <v>1188</v>
      </c>
      <c r="B1190" t="n">
        <v>2019</v>
      </c>
      <c r="C1190" s="2" t="n">
        <v>43816.64696759259</v>
      </c>
      <c r="D1190" t="inlineStr">
        <is>
          <t>A CRITICA</t>
        </is>
      </c>
      <c r="E1190" t="inlineStr">
        <is>
          <t>VENEZUELANOS</t>
        </is>
      </c>
      <c r="F1190" t="inlineStr">
        <is>
          <t>MANAUS</t>
        </is>
      </c>
      <c r="G1190" t="inlineStr">
        <is>
          <t>MARIA PAULA SANTOS</t>
        </is>
      </c>
      <c r="H1190" t="inlineStr">
        <is>
          <t>CALENDÁRIO DE MATRÍCULAS DE ESCOLAS MUNICIPAIS E ESTADUAIS É DIVULGADO</t>
        </is>
      </c>
      <c r="I1190" t="inlineStr">
        <is>
          <t>A REMATRÍCULA DOS ALUNOS QUE ESTUDARAM, EM 2019, NAS REDES ESTADUAL E MUNICIPAL DE ENSINO É AUTOMÁTICA E INICIA NA PRÓXIMA QUINTA-FEIRA (19)</t>
        </is>
      </c>
      <c r="J1190">
        <f>HYPERLINK("https://www.acritica.com/manaus/calendario-de-matriculas-de-escolas-municipais-e-estaduais-e-divulgado-1.52747", "URL")</f>
        <v/>
      </c>
      <c r="K1190">
        <f>HYPERLINK("https://raw.githubusercontent.com/marcosmapl/dataset_imigrantes/main/noticias_filtered/a_critica/venezuelanos/2019/11_dez/html/1.52747_1174.html", "HTML")</f>
        <v/>
      </c>
      <c r="L1190">
        <f>HYPERLINK("https://raw.githubusercontent.com/marcosmapl/dataset_imigrantes/main/noticias_filtered/a_critica/venezuelanos/2019/11_dez/txt/1.52747_1174.txt", "TXT")</f>
        <v/>
      </c>
    </row>
    <row r="1191">
      <c r="A1191" s="1" t="n">
        <v>1189</v>
      </c>
      <c r="B1191" t="n">
        <v>2019</v>
      </c>
      <c r="C1191" s="2" t="n">
        <v>43815.58143045139</v>
      </c>
      <c r="D1191" t="inlineStr">
        <is>
          <t>G1</t>
        </is>
      </c>
      <c r="E1191" t="inlineStr">
        <is>
          <t>VENEZUELANOS</t>
        </is>
      </c>
      <c r="F1191" t="inlineStr">
        <is>
          <t>RORAIMA</t>
        </is>
      </c>
      <c r="G1191" t="inlineStr">
        <is>
          <t>G1 RR — BOA VISTA</t>
        </is>
      </c>
      <c r="H1191" t="inlineStr">
        <is>
          <t>VENEZUELANO MORRE E OUTRO FICA GRAVEMENTE FERIDO APÓS AGRESSÕES A PAULADAS EM BOA VISTA</t>
        </is>
      </c>
      <c r="I1191" t="inlineStr">
        <is>
          <t>JOSÉ GREGÓRIO MATA FARIAS MORREU E EDUARDO GUSTAVO LOPES GUEVARA FOI LEVADO AO HOSPITAL COM TRAUMATISMO CRANIANO; CRIME OCORREU PRÓXIMO AO ABRIGO SANTA TERESA.</t>
        </is>
      </c>
      <c r="J1191">
        <f>HYPERLINK("https://g1.globo.com/rr/roraima/noticia/2019/12/16/homem-e-encontrado-morto-com-rosto-desfigurado-em-boa-vista.ghtml", "URL")</f>
        <v/>
      </c>
      <c r="K1191">
        <f>HYPERLINK("https://raw.githubusercontent.com/marcosmapl/dataset_imigrantes/main/noticias_filtered/g1/venezuelanos/2019/11_dez/html/g1_f18b76e4-2315-11ed-b24f-6dbe51e79fca_3117.html", "HTML")</f>
        <v/>
      </c>
      <c r="L1191">
        <f>HYPERLINK("https://raw.githubusercontent.com/marcosmapl/dataset_imigrantes/main/noticias_filtered/g1/venezuelanos/2019/11_dez/txt/g1_f18b76e4-2315-11ed-b24f-6dbe51e79fca_3117.txt", "TXT")</f>
        <v/>
      </c>
    </row>
    <row r="1192">
      <c r="A1192" s="1" t="n">
        <v>1190</v>
      </c>
      <c r="B1192" t="n">
        <v>2019</v>
      </c>
      <c r="C1192" s="2" t="n">
        <v>43815.40590599537</v>
      </c>
      <c r="D1192" t="inlineStr">
        <is>
          <t>G1</t>
        </is>
      </c>
      <c r="E1192" t="inlineStr">
        <is>
          <t>AMBOS</t>
        </is>
      </c>
      <c r="F1192" t="inlineStr">
        <is>
          <t>RORAIMA</t>
        </is>
      </c>
      <c r="G1192" t="inlineStr">
        <is>
          <t>EMILY COSTA, G1 RR — BOA VISTA</t>
        </is>
      </c>
      <c r="H1192" t="inlineStr">
        <is>
          <t>NOVA ONDA DE HAITIANOS CHEGA AO BRASIL PELA GUIANA E ENGROSSA ÊXODO DE ESTRANGEIROS EM RORAIMA</t>
        </is>
      </c>
      <c r="I1192" t="inlineStr">
        <is>
          <t>ATÉ NOVEMBRO, MAIS DE 13 MIL IMIGRANTES VINDOS DO HAITI ENTRARAM NO PAÍS PELA FRONTEIRA DA GUIANA, EM BONFIM (RR) -- FORAM 993 EM 2018; MESMA ROTA TROUXE 31 MIL CUBANOS DESDE 2018. ESTADO TAMBÉM É PORTA DE ENTRADA DO ÊXODO VENEZUELANO AO BRASIL.</t>
        </is>
      </c>
      <c r="J1192">
        <f>HYPERLINK("https://g1.globo.com/rr/roraima/noticia/2019/12/16/nova-onda-de-haitianos-chega-ao-brasil-pela-guiana-e-engrossa-exodo-de-estrangeiros-em-roraima.ghtml", "URL")</f>
        <v/>
      </c>
      <c r="K1192">
        <f>HYPERLINK("https://raw.githubusercontent.com/marcosmapl/dataset_imigrantes/main/noticias_filtered/g1/ambos/2019/11_dez/html/g1_8647525a-22ec-11ed-b24f-6dbe51e79fca_1659.html", "HTML")</f>
        <v/>
      </c>
      <c r="L1192">
        <f>HYPERLINK("https://raw.githubusercontent.com/marcosmapl/dataset_imigrantes/main/noticias_filtered/g1/ambos/2019/11_dez/txt/g1_8647525a-22ec-11ed-b24f-6dbe51e79fca_1659.txt", "TXT")</f>
        <v/>
      </c>
    </row>
    <row r="1193">
      <c r="A1193" s="1" t="n">
        <v>1191</v>
      </c>
      <c r="B1193" t="n">
        <v>2019</v>
      </c>
      <c r="C1193" s="2" t="n">
        <v>43815.09567129629</v>
      </c>
      <c r="D1193" t="inlineStr">
        <is>
          <t>A CRITICA</t>
        </is>
      </c>
      <c r="E1193" t="inlineStr">
        <is>
          <t>VENEZUELANOS</t>
        </is>
      </c>
      <c r="F1193" t="inlineStr">
        <is>
          <t>POLICIA</t>
        </is>
      </c>
      <c r="G1193" t="inlineStr">
        <is>
          <t>JAN NOGUEIRA</t>
        </is>
      </c>
      <c r="H1193" t="inlineStr">
        <is>
          <t>HOMEM É MORTO A PAULADAS E TIROS NO COLÔNIA SANTO ANTÔNIO</t>
        </is>
      </c>
      <c r="I1193" t="inlineStr">
        <is>
          <t>O HOMEM IDENTIFICADO APENAS COMO REINALDO JESUS ESTARIA MANTENDO UMA ADOLESCENTE DE 13 ANOS SOB CÁRCERE PRIVADO, QUANDO FOI DESCOBERTO E MORTO POR TRAFICANTES DA ÁREA</t>
        </is>
      </c>
      <c r="J1193">
        <f>HYPERLINK("https://www.acritica.com/policia/homem-e-morto-a-pauladas-e-tiros-no-colonia-santo-antonio-1.52908", "URL")</f>
        <v/>
      </c>
      <c r="K1193">
        <f>HYPERLINK("https://raw.githubusercontent.com/marcosmapl/dataset_imigrantes/main/noticias_filtered/a_critica/venezuelanos/2019/11_dez/html/1.52908_848.html", "HTML")</f>
        <v/>
      </c>
      <c r="L1193">
        <f>HYPERLINK("https://raw.githubusercontent.com/marcosmapl/dataset_imigrantes/main/noticias_filtered/a_critica/venezuelanos/2019/11_dez/txt/1.52908_848.txt", "TXT")</f>
        <v/>
      </c>
    </row>
    <row r="1194">
      <c r="A1194" s="1" t="n">
        <v>1192</v>
      </c>
      <c r="B1194" t="n">
        <v>2019</v>
      </c>
      <c r="C1194" s="2" t="n">
        <v>43814.61736111111</v>
      </c>
      <c r="D1194" t="inlineStr">
        <is>
          <t>A CRITICA</t>
        </is>
      </c>
      <c r="E1194" t="inlineStr">
        <is>
          <t>VENEZUELANOS</t>
        </is>
      </c>
      <c r="F1194" t="inlineStr">
        <is>
          <t>POLICIA</t>
        </is>
      </c>
      <c r="G1194" t="inlineStr">
        <is>
          <t>JOANA QUEIROZ</t>
        </is>
      </c>
      <c r="H1194" t="inlineStr">
        <is>
          <t>IML IDENTIFICA 60 CÁPSULAS DE COCAÍNA EM CADÁVER DE VENEZUELANA EM MANAUS</t>
        </is>
      </c>
      <c r="I1194" t="inlineStr">
        <is>
          <t>A MULHER DE 43 ANOS MORREU VÍTIMA DE INFLAMAÇÃO NA PAREDE ABDOMINAL. AO REALIZAR A NECROPSIA, OS PERITOS DO IML CONSTATARAM QUE A INFECÇÃO GENERALIZADA FOI CAUSADA POR 60 CÁPSULAS DE COCAÍNA QUE ESTAVAM NO ESTÔMAGO DA MULHER</t>
        </is>
      </c>
      <c r="J1194">
        <f>HYPERLINK("https://www.acritica.com/policia/iml-identifica-60-capsulas-de-cocaina-em-cadaver-de-venezuelana-em-manaus-1.52882", "URL")</f>
        <v/>
      </c>
      <c r="K1194">
        <f>HYPERLINK("https://raw.githubusercontent.com/marcosmapl/dataset_imigrantes/main/noticias_filtered/a_critica/venezuelanos/2019/11_dez/html/1.52882_1366.html", "HTML")</f>
        <v/>
      </c>
      <c r="L1194">
        <f>HYPERLINK("https://raw.githubusercontent.com/marcosmapl/dataset_imigrantes/main/noticias_filtered/a_critica/venezuelanos/2019/11_dez/txt/1.52882_1366.txt", "TXT")</f>
        <v/>
      </c>
    </row>
    <row r="1195">
      <c r="A1195" s="1" t="n">
        <v>1193</v>
      </c>
      <c r="B1195" t="n">
        <v>2019</v>
      </c>
      <c r="C1195" s="2" t="n">
        <v>43814.45581494213</v>
      </c>
      <c r="D1195" t="inlineStr">
        <is>
          <t>G1</t>
        </is>
      </c>
      <c r="E1195" t="inlineStr">
        <is>
          <t>HAITIANOS</t>
        </is>
      </c>
      <c r="F1195" t="inlineStr">
        <is>
          <t>CAMPINAS E REGIÃO</t>
        </is>
      </c>
      <c r="G1195" t="inlineStr">
        <is>
          <t>G1 CAMPINAS E REGIÃO</t>
        </is>
      </c>
      <c r="H1195" t="inlineStr">
        <is>
          <t>NÚMERO DE LATINO-AMERICANOS COM CARTEIRA ASSINADA SOBE 23% NA RMC</t>
        </is>
      </c>
      <c r="I1195" t="inlineStr">
        <is>
          <t>HAITIANOS REPRESENTAM 56% DO TOTAL DE TRABALHADORES DESSA REGIÃO NOS 20 MUNICÍPIOS DA REGIÃO METROPOLITANA DE CAMPINAS, SEGUNDO DADOS DA RAIS.</t>
        </is>
      </c>
      <c r="J1195">
        <f>HYPERLINK("https://g1.globo.com/sp/campinas-regiao/noticia/2019/12/15/numero-de-latino-americanos-com-carteira-assinada-sobe-23percent-na-rmc.ghtml", "URL")</f>
        <v/>
      </c>
      <c r="K1195">
        <f>HYPERLINK("https://raw.githubusercontent.com/marcosmapl/dataset_imigrantes/main/noticias_filtered/g1/haitianos/2019/11_dez/html/g1_4128dfa0-22fa-11ed-b24f-6dbe51e79fca_2208.html", "HTML")</f>
        <v/>
      </c>
      <c r="L1195">
        <f>HYPERLINK("https://raw.githubusercontent.com/marcosmapl/dataset_imigrantes/main/noticias_filtered/g1/haitianos/2019/11_dez/txt/g1_4128dfa0-22fa-11ed-b24f-6dbe51e79fca_2208.txt", "TXT")</f>
        <v/>
      </c>
    </row>
    <row r="1196">
      <c r="A1196" s="1" t="n">
        <v>1194</v>
      </c>
      <c r="B1196" t="n">
        <v>2019</v>
      </c>
      <c r="C1196" s="2" t="n">
        <v>43813.73580641203</v>
      </c>
      <c r="D1196" t="inlineStr">
        <is>
          <t>G1</t>
        </is>
      </c>
      <c r="E1196" t="inlineStr">
        <is>
          <t>VENEZUELANOS</t>
        </is>
      </c>
      <c r="F1196" t="inlineStr">
        <is>
          <t>CEARÁ</t>
        </is>
      </c>
      <c r="G1196" t="inlineStr">
        <is>
          <t>RODRIGO RODRIGUES E JOÃO LIMA NETO, G1 CE</t>
        </is>
      </c>
      <c r="H1196" t="inlineStr">
        <is>
          <t>VENEZUELANOS REFUGIADOS VIVEM DE DOAÇÕES EM RODOVIÁRIA DE FORTALEZA</t>
        </is>
      </c>
      <c r="I1196" t="inlineStr">
        <is>
          <t>ESTRANGEIROS CHEGARAM EM DIFERENTES SEMANAS DO MÊS DE DEZEMBRO DESTE ANO.</t>
        </is>
      </c>
      <c r="J1196">
        <f>HYPERLINK("https://g1.globo.com/ce/ceara/noticia/2019/12/14/venezuelanos-refugiados-vivem-de-doacoes-em-rodoviaria-de-fortaleza.ghtml", "URL")</f>
        <v/>
      </c>
      <c r="K1196">
        <f>HYPERLINK("https://raw.githubusercontent.com/marcosmapl/dataset_imigrantes/main/noticias_filtered/g1/venezuelanos/2019/11_dez/html/g1_e94ea01e-2324-11ed-b24f-6dbe51e79fca_3889.html", "HTML")</f>
        <v/>
      </c>
      <c r="L1196">
        <f>HYPERLINK("https://raw.githubusercontent.com/marcosmapl/dataset_imigrantes/main/noticias_filtered/g1/venezuelanos/2019/11_dez/txt/g1_e94ea01e-2324-11ed-b24f-6dbe51e79fca_3889.txt", "TXT")</f>
        <v/>
      </c>
    </row>
    <row r="1197">
      <c r="A1197" s="1" t="n">
        <v>1195</v>
      </c>
      <c r="B1197" t="n">
        <v>2019</v>
      </c>
      <c r="C1197" s="2" t="n">
        <v>43813.62995524306</v>
      </c>
      <c r="D1197" t="inlineStr">
        <is>
          <t>G1</t>
        </is>
      </c>
      <c r="E1197" t="inlineStr">
        <is>
          <t>VENEZUELANOS</t>
        </is>
      </c>
      <c r="F1197" t="inlineStr">
        <is>
          <t>AMAZONAS</t>
        </is>
      </c>
      <c r="G1197" t="inlineStr">
        <is>
          <t>G1 AM</t>
        </is>
      </c>
      <c r="H1197" t="inlineStr">
        <is>
          <t>VENEZUELANA DÁ À LUZ EM QUARTEL DA POLÍCIA MILITAR NO CAREIRO VÁRZEA, INTERIOR DO AM</t>
        </is>
      </c>
      <c r="I1197" t="inlineStr">
        <is>
          <t>MULHER E MARIDO TENTAVAM EMBARCAR PARA A CAPITAL QUANDO A BOLSA ESTOUROU.</t>
        </is>
      </c>
      <c r="J1197">
        <f>HYPERLINK("https://g1.globo.com/am/amazonas/noticia/2019/12/14/venezuelana-da-a-luz-em-quartel-da-policia-militar-no-careiro-varzea-interior-do-am.ghtml", "URL")</f>
        <v/>
      </c>
      <c r="K1197">
        <f>HYPERLINK("https://raw.githubusercontent.com/marcosmapl/dataset_imigrantes/main/noticias_filtered/g1/venezuelanos/2019/11_dez/html/g1_b8e1e236-2312-11ed-b24f-6dbe51e79fca_2977.html", "HTML")</f>
        <v/>
      </c>
      <c r="L1197">
        <f>HYPERLINK("https://raw.githubusercontent.com/marcosmapl/dataset_imigrantes/main/noticias_filtered/g1/venezuelanos/2019/11_dez/txt/g1_b8e1e236-2312-11ed-b24f-6dbe51e79fca_2977.txt", "TXT")</f>
        <v/>
      </c>
    </row>
    <row r="1198">
      <c r="A1198" s="1" t="n">
        <v>1196</v>
      </c>
      <c r="B1198" t="n">
        <v>2019</v>
      </c>
      <c r="C1198" s="2" t="n">
        <v>43813.57444527778</v>
      </c>
      <c r="D1198" t="inlineStr">
        <is>
          <t>G1</t>
        </is>
      </c>
      <c r="E1198" t="inlineStr">
        <is>
          <t>VENEZUELANOS</t>
        </is>
      </c>
      <c r="F1198" t="inlineStr">
        <is>
          <t>RIO GRANDE DO SUL</t>
        </is>
      </c>
      <c r="G1198" t="inlineStr">
        <is>
          <t>G1 RS E RBS TV</t>
        </is>
      </c>
      <c r="H1198" t="inlineStr">
        <is>
          <t>IRMÃ DE VENEZUELANA MORTA EM CAXIAS DO SUL DIZ QUE EX 'NUNCA ACEITOU' FIM DO RELACIONAMENTO; HOMEM ESTÁ PRESO</t>
        </is>
      </c>
      <c r="I1198" t="inlineStr">
        <is>
          <t>SUSPEITO DO CRIME SE APRESENTOU À POLÍCIA NA SEXTA-FEIRA (13) E ADMITIU QUE JOGOU LÍQUIDO EM ARIANA VICTORIA GODOY FIGUERA. ELA TEVE PARTE DO CORPO QUEIMADA E NÃO RESISTIU. HOMEM DISSE À DELEGADA QUE QUERIA ASSUSTAR A JOVEM, E NÃO SABE QUAL SUBSTÂNCIA A ATINGIU.</t>
        </is>
      </c>
      <c r="J1198">
        <f>HYPERLINK("https://g1.globo.com/rs/rio-grande-do-sul/noticia/2019/12/14/irma-de-venezuelana-morta-em-caxias-do-sul-diz-que-ex-nunca-aceitou-fim-do-relacionamento-homem-esta-preso.ghtml", "URL")</f>
        <v/>
      </c>
      <c r="K1198">
        <f>HYPERLINK("https://raw.githubusercontent.com/marcosmapl/dataset_imigrantes/main/noticias_filtered/g1/venezuelanos/2019/11_dez/html/g1_e9a307fe-231e-11ed-b24f-6dbe51e79fca_3590.html", "HTML")</f>
        <v/>
      </c>
      <c r="L1198">
        <f>HYPERLINK("https://raw.githubusercontent.com/marcosmapl/dataset_imigrantes/main/noticias_filtered/g1/venezuelanos/2019/11_dez/txt/g1_e9a307fe-231e-11ed-b24f-6dbe51e79fca_3590.txt", "TXT")</f>
        <v/>
      </c>
    </row>
    <row r="1199">
      <c r="A1199" s="1" t="n">
        <v>1197</v>
      </c>
      <c r="B1199" t="n">
        <v>2019</v>
      </c>
      <c r="C1199" s="2" t="n">
        <v>43812.97013888889</v>
      </c>
      <c r="D1199" t="inlineStr">
        <is>
          <t>A CRITICA</t>
        </is>
      </c>
      <c r="E1199" t="inlineStr">
        <is>
          <t>VENEZUELANOS</t>
        </is>
      </c>
      <c r="F1199" t="inlineStr"/>
      <c r="G1199" t="inlineStr">
        <is>
          <t>REBECA BEATRIZ</t>
        </is>
      </c>
      <c r="H1199" t="inlineStr">
        <is>
          <t>TRABALHOS COM ARTESANATO FAVORECEM A INSERÇÃO DE MIGRANTES NO AMAZONAS</t>
        </is>
      </c>
      <c r="I1199" t="inlineStr">
        <is>
          <t>FEIRA PROMOVIDA NO PÁTIO DO SEBRAE COMERCIALIZOU PRODUTOS ARTESANAIS ELABORADOS POR REFUGIADOS E MIGRANTES VENEZUELANO</t>
        </is>
      </c>
      <c r="J1199">
        <f>HYPERLINK("https://www.acritica.com/trabalhos-com-artesanato-favorecem-a-inserc-o-de-migrantes-no-amazonas-1.52972", "URL")</f>
        <v/>
      </c>
      <c r="K1199">
        <f>HYPERLINK("https://raw.githubusercontent.com/marcosmapl/dataset_imigrantes/main/noticias_filtered/a_critica/venezuelanos/2019/11_dez/html/1.52972_467.html", "HTML")</f>
        <v/>
      </c>
      <c r="L1199">
        <f>HYPERLINK("https://raw.githubusercontent.com/marcosmapl/dataset_imigrantes/main/noticias_filtered/a_critica/venezuelanos/2019/11_dez/txt/1.52972_467.txt", "TXT")</f>
        <v/>
      </c>
    </row>
    <row r="1200">
      <c r="A1200" s="1" t="n">
        <v>1198</v>
      </c>
      <c r="B1200" t="n">
        <v>2019</v>
      </c>
      <c r="C1200" s="2" t="n">
        <v>43812.63402777778</v>
      </c>
      <c r="D1200" t="inlineStr">
        <is>
          <t>PORTAL AMAZONIA</t>
        </is>
      </c>
      <c r="E1200" t="inlineStr">
        <is>
          <t>VENEZUELANOS</t>
        </is>
      </c>
      <c r="F1200" t="inlineStr">
        <is>
          <t>EDUCAÇÃO</t>
        </is>
      </c>
      <c r="G1200" t="inlineStr">
        <is>
          <t>REDAÇÃO</t>
        </is>
      </c>
      <c r="H1200" t="inlineStr">
        <is>
          <t>PESQUISADORA DO INPA GANHA GRANDE PRÊMIO DA CAPES DE MELHOR TESE 2019</t>
        </is>
      </c>
      <c r="I1200" t="inlineStr">
        <is>
          <t>CAROLINA LEVIS, DO INSTITUTO NACIONAL DE PESQUISAS DA AMAZÔNIA (INPA), BEATRIZ SCHMIDT, DA UNIVERSIDADE FEDERAL DO RIO GRANDE DO SUL (UFRGS), E JOSÉ HOLANDA DA SILVA, DA UNIVERSIDADE FEDERAL DE PERNAMBUCO (UFPE), FORAM OS GRANDES VENCEDORES DA 14ª ED</t>
        </is>
      </c>
      <c r="J1200">
        <f>HYPERLINK("https://portalamazonia.com/noticias/educacao/pesquisadora-do-inpa-ganha-grande-premio-da-capes-de-melhor-tese-2019", "URL")</f>
        <v/>
      </c>
      <c r="K1200">
        <f>HYPERLINK("https://raw.githubusercontent.com/marcosmapl/dataset_imigrantes/main/noticias_filtered/portal_amazonia/venezuelanos/2019/11_dez/html/21514.21514_1507.html", "HTML")</f>
        <v/>
      </c>
      <c r="L1200">
        <f>HYPERLINK("https://raw.githubusercontent.com/marcosmapl/dataset_imigrantes/main/noticias_filtered/portal_amazonia/venezuelanos/2019/11_dez/txt/21514.21514_1507.txt", "TXT")</f>
        <v/>
      </c>
    </row>
    <row r="1201">
      <c r="A1201" s="1" t="n">
        <v>1199</v>
      </c>
      <c r="B1201" t="n">
        <v>2019</v>
      </c>
      <c r="C1201" s="2" t="n">
        <v>43812.53794231481</v>
      </c>
      <c r="D1201" t="inlineStr">
        <is>
          <t>G1</t>
        </is>
      </c>
      <c r="E1201" t="inlineStr">
        <is>
          <t>VENEZUELANOS</t>
        </is>
      </c>
      <c r="F1201" t="inlineStr">
        <is>
          <t>RORAIMA</t>
        </is>
      </c>
      <c r="G1201" t="inlineStr">
        <is>
          <t>EMILY COSTA E JACKSON FÉLIX, G1 RR</t>
        </is>
      </c>
      <c r="H1201" t="inlineStr">
        <is>
          <t>ADOLESCENTE VENEZUELANO É ACHADO DEGOLADO NA FRONTEIRA EM PACARAIMA, RR</t>
        </is>
      </c>
      <c r="I1201" t="inlineStr">
        <is>
          <t>JOSE GREGORIO CAMPBELL RODRIGUES, DE 16 ANOS, FOI ACHADO EM ÁREA DE MATA NA ENTRADA DA CIDADE; CORPO FOI LEVADO AO IML, EM BOA VISTA.</t>
        </is>
      </c>
      <c r="J1201">
        <f>HYPERLINK("https://g1.globo.com/rr/roraima/noticia/2019/12/13/adolescente-venezuelano-e-achado-degolado-na-fronteira-em-pacaraima-rr.ghtml", "URL")</f>
        <v/>
      </c>
      <c r="K1201">
        <f>HYPERLINK("https://raw.githubusercontent.com/marcosmapl/dataset_imigrantes/main/noticias_filtered/g1/venezuelanos/2019/11_dez/html/g1_65638092-2326-11ed-b24f-6dbe51e79fca_3974.html", "HTML")</f>
        <v/>
      </c>
      <c r="L1201">
        <f>HYPERLINK("https://raw.githubusercontent.com/marcosmapl/dataset_imigrantes/main/noticias_filtered/g1/venezuelanos/2019/11_dez/txt/g1_65638092-2326-11ed-b24f-6dbe51e79fca_3974.txt", "TXT")</f>
        <v/>
      </c>
    </row>
    <row r="1202">
      <c r="A1202" s="1" t="n">
        <v>1200</v>
      </c>
      <c r="B1202" t="n">
        <v>2019</v>
      </c>
      <c r="C1202" s="2" t="n">
        <v>43810.83633923611</v>
      </c>
      <c r="D1202" t="inlineStr">
        <is>
          <t>G1</t>
        </is>
      </c>
      <c r="E1202" t="inlineStr">
        <is>
          <t>VENEZUELANOS</t>
        </is>
      </c>
      <c r="F1202" t="inlineStr">
        <is>
          <t>SANTA CATARINA</t>
        </is>
      </c>
      <c r="G1202" t="inlineStr">
        <is>
          <t>G1 SC</t>
        </is>
      </c>
      <c r="H1202" t="inlineStr">
        <is>
          <t>POLICIAL COMPRA TODOS OS BOLOS QUE VENEZUELANO VENDIA EM RUA DE SC PARA AJUDÁ-LO</t>
        </is>
      </c>
      <c r="I1202" t="inlineStr">
        <is>
          <t>FOTO DO MOMENTO DA 'ABORDAGEM POLICIAL' SE ESPALHOU NAS REDES SOCIAIS. MESMO COM INTOLERÂNCIA À LACTOSE, POLICIAL COMPROU 11 POTES DE BOLO PARA QUE VENEZUELANO PUDESSE IR MAIS CEDO PARA CASA COM OS FILHOS.</t>
        </is>
      </c>
      <c r="J1202">
        <f>HYPERLINK("https://g1.globo.com/sc/santa-catarina/noticia/2019/12/11/policial-compra-todos-os-bolos-que-venezuelano-vendia-em-rua-de-sc-para-ajuda-lo.ghtml", "URL")</f>
        <v/>
      </c>
      <c r="K1202">
        <f>HYPERLINK("https://raw.githubusercontent.com/marcosmapl/dataset_imigrantes/main/noticias_filtered/g1/venezuelanos/2019/11_dez/html/g1_12a8ee82-231c-11ed-b24f-6dbe51e79fca_3427.html", "HTML")</f>
        <v/>
      </c>
      <c r="L1202">
        <f>HYPERLINK("https://raw.githubusercontent.com/marcosmapl/dataset_imigrantes/main/noticias_filtered/g1/venezuelanos/2019/11_dez/txt/g1_12a8ee82-231c-11ed-b24f-6dbe51e79fca_3427.txt", "TXT")</f>
        <v/>
      </c>
    </row>
    <row r="1203">
      <c r="A1203" s="1" t="n">
        <v>1201</v>
      </c>
      <c r="B1203" t="n">
        <v>2019</v>
      </c>
      <c r="C1203" s="2" t="n">
        <v>43809.81380041667</v>
      </c>
      <c r="D1203" t="inlineStr">
        <is>
          <t>G1</t>
        </is>
      </c>
      <c r="E1203" t="inlineStr">
        <is>
          <t>VENEZUELANOS</t>
        </is>
      </c>
      <c r="F1203" t="inlineStr">
        <is>
          <t>RONDÔNIA</t>
        </is>
      </c>
      <c r="G1203" t="inlineStr">
        <is>
          <t>G1 RO</t>
        </is>
      </c>
      <c r="H1203" t="inlineStr">
        <is>
          <t>CHAMADA ESCOLAR PARA VENEZUELANOS ENCERRA NA QUINTA-FEIRA, 12, EM PORTO VELHO</t>
        </is>
      </c>
      <c r="I1203" t="inlineStr">
        <is>
          <t>CADASTRO VAI FAZER LEVANTAMENTO DE CRIANÇAS INTERESSADAS EM INGRESSAR NA REDE DE ENSINO INFANTIL E FUNDAMENTAL. ATENDIMENTOS SÃO REALIZADOS NA ESCOLA ANTÔNIO FERREIRA DA SILVA.</t>
        </is>
      </c>
      <c r="J1203">
        <f>HYPERLINK("https://g1.globo.com/ro/rondonia/noticia/2019/12/10/chamada-escolar-para-venezuelanos-encerra-na-quinta-feira-12-em-porto-velho.ghtml", "URL")</f>
        <v/>
      </c>
      <c r="K1203">
        <f>HYPERLINK("https://raw.githubusercontent.com/marcosmapl/dataset_imigrantes/main/noticias_filtered/g1/venezuelanos/2019/11_dez/html/g1_4fc6650c-2307-11ed-b24f-6dbe51e79fca_2310.html", "HTML")</f>
        <v/>
      </c>
      <c r="L1203">
        <f>HYPERLINK("https://raw.githubusercontent.com/marcosmapl/dataset_imigrantes/main/noticias_filtered/g1/venezuelanos/2019/11_dez/txt/g1_4fc6650c-2307-11ed-b24f-6dbe51e79fca_2310.txt", "TXT")</f>
        <v/>
      </c>
    </row>
    <row r="1204">
      <c r="A1204" s="1" t="n">
        <v>1202</v>
      </c>
      <c r="B1204" t="n">
        <v>2019</v>
      </c>
      <c r="C1204" s="2" t="n">
        <v>43809.55453875</v>
      </c>
      <c r="D1204" t="inlineStr">
        <is>
          <t>G1</t>
        </is>
      </c>
      <c r="E1204" t="inlineStr">
        <is>
          <t>VENEZUELANOS</t>
        </is>
      </c>
      <c r="F1204" t="inlineStr">
        <is>
          <t>RORAIMA</t>
        </is>
      </c>
      <c r="G1204" t="inlineStr">
        <is>
          <t>G1 RR</t>
        </is>
      </c>
      <c r="H1204" t="inlineStr">
        <is>
          <t>EVENTO MULTICULTURAL INTEGRA ADOLESCENTES BRASILEIROS E VENEZUELANOS EM BOA VISTA</t>
        </is>
      </c>
      <c r="I1204" t="inlineStr">
        <is>
          <t>SEGUNDO SHOW DE DIREITOS OCORRE NESTA TERÇA-FEIRA (10), NO AUDITÓRIO DO IFRR,  DA 15H ÀS 17H30.</t>
        </is>
      </c>
      <c r="J1204">
        <f>HYPERLINK("https://g1.globo.com/rr/roraima/noticia/2019/12/10/evento-multicultural-integra-adolescentes-brasileiros-e-venezuelanos-em-boa-vista.ghtml", "URL")</f>
        <v/>
      </c>
      <c r="K1204">
        <f>HYPERLINK("https://raw.githubusercontent.com/marcosmapl/dataset_imigrantes/main/noticias_filtered/g1/venezuelanos/2019/11_dez/html/g1_41446e96-2318-11ed-b24f-6dbe51e79fca_3250.html", "HTML")</f>
        <v/>
      </c>
      <c r="L1204">
        <f>HYPERLINK("https://raw.githubusercontent.com/marcosmapl/dataset_imigrantes/main/noticias_filtered/g1/venezuelanos/2019/11_dez/txt/g1_41446e96-2318-11ed-b24f-6dbe51e79fca_3250.txt", "TXT")</f>
        <v/>
      </c>
    </row>
    <row r="1205">
      <c r="A1205" s="1" t="n">
        <v>1203</v>
      </c>
      <c r="B1205" t="n">
        <v>2019</v>
      </c>
      <c r="C1205" s="2" t="n">
        <v>43809.53263888889</v>
      </c>
      <c r="D1205" t="inlineStr">
        <is>
          <t>A CRITICA</t>
        </is>
      </c>
      <c r="E1205" t="inlineStr">
        <is>
          <t>VENEZUELANOS</t>
        </is>
      </c>
      <c r="F1205" t="inlineStr">
        <is>
          <t>MANAUS</t>
        </is>
      </c>
      <c r="G1205" t="inlineStr">
        <is>
          <t>PORTAL A CRÍTICA</t>
        </is>
      </c>
      <c r="H1205" t="inlineStr">
        <is>
          <t>ENCONTRO TRAZ DETALHES PARA A CONTRATAÇÃO DE REFUGIADOS E MIGRANTES EM MANAUS</t>
        </is>
      </c>
      <c r="I1205" t="inlineStr">
        <is>
          <t>UM DOS PONTOS ABORDADOS NA PROGRAMAÇÃO É A INTEGRAÇÃO SOCIOECONÔMICA DA COMUNIDADE REFUGIADA E MIGRANTE NA CIDADE</t>
        </is>
      </c>
      <c r="J1205">
        <f>HYPERLINK("https://www.acritica.com/manaus/encontro-traz-detalhes-para-a-contratac-o-de-refugiados-e-migrantes-em-manaus-1.53344", "URL")</f>
        <v/>
      </c>
      <c r="K1205">
        <f>HYPERLINK("https://raw.githubusercontent.com/marcosmapl/dataset_imigrantes/main/noticias_filtered/a_critica/venezuelanos/2019/11_dez/html/1.53344_562.html", "HTML")</f>
        <v/>
      </c>
      <c r="L1205">
        <f>HYPERLINK("https://raw.githubusercontent.com/marcosmapl/dataset_imigrantes/main/noticias_filtered/a_critica/venezuelanos/2019/11_dez/txt/1.53344_562.txt", "TXT")</f>
        <v/>
      </c>
    </row>
    <row r="1206">
      <c r="A1206" s="1" t="n">
        <v>1204</v>
      </c>
      <c r="B1206" t="n">
        <v>2019</v>
      </c>
      <c r="C1206" s="2" t="n">
        <v>43809.52083333334</v>
      </c>
      <c r="D1206" t="inlineStr">
        <is>
          <t>PORTAL AMAZONIA</t>
        </is>
      </c>
      <c r="E1206" t="inlineStr">
        <is>
          <t>VENEZUELANOS</t>
        </is>
      </c>
      <c r="F1206" t="inlineStr">
        <is>
          <t>EDUCAÇÃO</t>
        </is>
      </c>
      <c r="G1206" t="inlineStr">
        <is>
          <t>REDAÇÃO</t>
        </is>
      </c>
      <c r="H1206" t="inlineStr">
        <is>
          <t>INSTITUTO DE EDUCAÇÃO DO AMAZONAS É FINALISTA EM DISPUTA NACIONAL; VOTAÇÃO POPULAR ABERTA</t>
        </is>
      </c>
      <c r="I1206" t="inlineStr">
        <is>
          <t>O INSTITUTO DE EDUCAÇÃO DO AMAZONAS (IEA) ESTÁ CONCORRENDO NO PROGRAMA “EDUCAR PARA TRANSFORMAR”, CRIADO PELO INSTITUTO MRV E QUE SELECIONA E APOIA PROJETOS QUE PROMOVAM A TRANSFORMAÇÃO SOCIAL POR MEIO DA EDUCAÇÃO. A ESCOLHA FINAL É FEITA MEDIANTE VO</t>
        </is>
      </c>
      <c r="J1206">
        <f>HYPERLINK("https://portalamazonia.com/noticias/educacao/instituto-de-educacao-do-amazonas-e-finalista-em-disputa-nacional-votacao-popular-aberta", "URL")</f>
        <v/>
      </c>
      <c r="K1206">
        <f>HYPERLINK("https://raw.githubusercontent.com/marcosmapl/dataset_imigrantes/main/noticias_filtered/portal_amazonia/venezuelanos/2019/11_dez/html/21478.21478_1413.html", "HTML")</f>
        <v/>
      </c>
      <c r="L1206">
        <f>HYPERLINK("https://raw.githubusercontent.com/marcosmapl/dataset_imigrantes/main/noticias_filtered/portal_amazonia/venezuelanos/2019/11_dez/txt/21478.21478_1413.txt", "TXT")</f>
        <v/>
      </c>
    </row>
    <row r="1207">
      <c r="A1207" s="1" t="n">
        <v>1205</v>
      </c>
      <c r="B1207" t="n">
        <v>2019</v>
      </c>
      <c r="C1207" s="2" t="n">
        <v>43808.8582265162</v>
      </c>
      <c r="D1207" t="inlineStr">
        <is>
          <t>G1</t>
        </is>
      </c>
      <c r="E1207" t="inlineStr">
        <is>
          <t>VENEZUELANOS</t>
        </is>
      </c>
      <c r="F1207" t="inlineStr">
        <is>
          <t>ACRE</t>
        </is>
      </c>
      <c r="G1207" t="inlineStr">
        <is>
          <t>GISELLE LOUREIRO, JORNAL DO ACRE 1ª EDIÇÃO — RIO BRANCO</t>
        </is>
      </c>
      <c r="H1207" t="inlineStr">
        <is>
          <t>EM 10 MESES, MAIS DE 80 VENEZUELANOS FIZERAM SOLICITAÇÃO DE REFÚGIO NO ACRE</t>
        </is>
      </c>
      <c r="I1207" t="inlineStr">
        <is>
          <t>DE ACORDO COM O FUNDO DAS NAÇÕES UNIDAS PARA A INFÂNCIA (UNICEF), ENTRE 2015 E AGOSTO DESTE ANO, FORAM FEITAS 212 MIL SOLICITAÇÕES DE RESIDÊNCIA TEMPORÁRIA E REFÚGIO DE VENEZUELANOS NO BRASIL.</t>
        </is>
      </c>
      <c r="J1207">
        <f>HYPERLINK("https://g1.globo.com/ac/acre/noticia/2019/12/09/em-10-meses-mais-de-80-venezuelanos-fizeram-solicitacao-de-refugio-no-acre.ghtml", "URL")</f>
        <v/>
      </c>
      <c r="K1207">
        <f>HYPERLINK("https://raw.githubusercontent.com/marcosmapl/dataset_imigrantes/main/noticias_filtered/g1/venezuelanos/2019/11_dez/html/g1_e093919a-2316-11ed-b24f-6dbe51e79fca_3175.html", "HTML")</f>
        <v/>
      </c>
      <c r="L1207">
        <f>HYPERLINK("https://raw.githubusercontent.com/marcosmapl/dataset_imigrantes/main/noticias_filtered/g1/venezuelanos/2019/11_dez/txt/g1_e093919a-2316-11ed-b24f-6dbe51e79fca_3175.txt", "TXT")</f>
        <v/>
      </c>
    </row>
    <row r="1208">
      <c r="A1208" s="1" t="n">
        <v>1206</v>
      </c>
      <c r="B1208" t="n">
        <v>2019</v>
      </c>
      <c r="C1208" s="2" t="n">
        <v>43808.81582721064</v>
      </c>
      <c r="D1208" t="inlineStr">
        <is>
          <t>G1</t>
        </is>
      </c>
      <c r="E1208" t="inlineStr">
        <is>
          <t>HAITIANOS</t>
        </is>
      </c>
      <c r="F1208" t="inlineStr">
        <is>
          <t>SANTA CATARINA</t>
        </is>
      </c>
      <c r="G1208" t="inlineStr"/>
      <c r="H1208" t="inlineStr">
        <is>
          <t>QUATRO PESSOAS MORREM APÓS CARRO CAIR EM RIBANCEIRA NA BR-282, NO OESTE DE SC</t>
        </is>
      </c>
      <c r="I1208" t="inlineStr">
        <is>
          <t>ACIDENTE OCORREU EM PINHALZINHO NESTA SEGUNDA. SEGUNDO A POLÍCIA RODOVIÁRIA FEDERAL (PRF), HAITIANOS ESTARIAM ENTRE AS VÍTIMAS.</t>
        </is>
      </c>
      <c r="J1208">
        <f>HYPERLINK("https://g1.globo.com/sc/santa-catarina/noticia/2019/12/09/quatro-pessoas-morrem-apos-carro-cair-em-ribanceira-na-br-282-no-oeste-de-sc.ghtml", "URL")</f>
        <v/>
      </c>
      <c r="K1208">
        <f>HYPERLINK("https://raw.githubusercontent.com/marcosmapl/dataset_imigrantes/main/noticias_filtered/g1/haitianos/2019/11_dez/html/g1_524bf56a-231d-11ed-b24f-6dbe51e79fca_3497.html", "HTML")</f>
        <v/>
      </c>
      <c r="L1208">
        <f>HYPERLINK("https://raw.githubusercontent.com/marcosmapl/dataset_imigrantes/main/noticias_filtered/g1/haitianos/2019/11_dez/txt/g1_524bf56a-231d-11ed-b24f-6dbe51e79fca_3497.txt", "TXT")</f>
        <v/>
      </c>
    </row>
    <row r="1209">
      <c r="A1209" s="1" t="n">
        <v>1207</v>
      </c>
      <c r="B1209" t="n">
        <v>2019</v>
      </c>
      <c r="C1209" s="2" t="n">
        <v>43806.6622337963</v>
      </c>
      <c r="D1209" t="inlineStr">
        <is>
          <t>A CRITICA</t>
        </is>
      </c>
      <c r="E1209" t="inlineStr">
        <is>
          <t>VENEZUELANOS</t>
        </is>
      </c>
      <c r="F1209" t="inlineStr">
        <is>
          <t>POLICIA</t>
        </is>
      </c>
      <c r="G1209" t="inlineStr">
        <is>
          <t>JOHNY VASCONCELOS</t>
        </is>
      </c>
      <c r="H1209" t="inlineStr">
        <is>
          <t>APÓS DOIS MESES DE ESPERA, FAMÍLIA PODERÁ ENTERRAR RESTOS MORTAIS DE ADOLESCENTE</t>
        </is>
      </c>
      <c r="I1209" t="inlineStr">
        <is>
          <t>LIBERAÇÃO DOS RESTOS MORTAIS DE RAYNER VINICIUS GONÇALVES, 15, OCORREU NESSA SEXTA-FEIRA (6)</t>
        </is>
      </c>
      <c r="J1209">
        <f>HYPERLINK("https://www.acritica.com/policia/apos-dois-meses-de-espera-familia-podera-enterrar-restos-mortais-de-adolescente-1.53520", "URL")</f>
        <v/>
      </c>
      <c r="K1209">
        <f>HYPERLINK("https://raw.githubusercontent.com/marcosmapl/dataset_imigrantes/main/noticias_filtered/a_critica/venezuelanos/2019/11_dez/html/1.53520_151.html", "HTML")</f>
        <v/>
      </c>
      <c r="L1209">
        <f>HYPERLINK("https://raw.githubusercontent.com/marcosmapl/dataset_imigrantes/main/noticias_filtered/a_critica/venezuelanos/2019/11_dez/txt/1.53520_151.txt", "TXT")</f>
        <v/>
      </c>
    </row>
    <row r="1210">
      <c r="A1210" s="1" t="n">
        <v>1208</v>
      </c>
      <c r="B1210" t="n">
        <v>2019</v>
      </c>
      <c r="C1210" s="2" t="n">
        <v>43805.61746527778</v>
      </c>
      <c r="D1210" t="inlineStr">
        <is>
          <t>A CRITICA</t>
        </is>
      </c>
      <c r="E1210" t="inlineStr">
        <is>
          <t>VENEZUELANOS</t>
        </is>
      </c>
      <c r="F1210" t="inlineStr"/>
      <c r="G1210" t="inlineStr">
        <is>
          <t>REUTERS</t>
        </is>
      </c>
      <c r="H1210" t="inlineStr">
        <is>
          <t>COMÉRCIO ILEGAL DE OURO É ALVO DE OPERAÇÃO DA PF NO AMAZONAS</t>
        </is>
      </c>
      <c r="I1210" t="inlineStr">
        <is>
          <t>POLÍCIA FEDERAL PRETENDE DESARTICULAR UMA ORGANIZAÇÃO CRIMINOSA COMPOSTA POR BRASILEIROS E VENEZUELANOS QUE SERIA RESPONSÁVEL PELO COMÉRCIO ILEGAL DE AO MENOS 1,2 TONELADA DE OURO</t>
        </is>
      </c>
      <c r="J1210">
        <f>HYPERLINK("https://www.acritica.com/comercio-ilegal-de-ouro-e-alvo-de-operac-o-da-pf-no-amazonas-1.53531", "URL")</f>
        <v/>
      </c>
      <c r="K1210">
        <f>HYPERLINK("https://raw.githubusercontent.com/marcosmapl/dataset_imigrantes/main/noticias_filtered/a_critica/venezuelanos/2019/11_dez/html/1.53531_547.html", "HTML")</f>
        <v/>
      </c>
      <c r="L1210">
        <f>HYPERLINK("https://raw.githubusercontent.com/marcosmapl/dataset_imigrantes/main/noticias_filtered/a_critica/venezuelanos/2019/11_dez/txt/1.53531_547.txt", "TXT")</f>
        <v/>
      </c>
    </row>
    <row r="1211">
      <c r="A1211" s="1" t="n">
        <v>1209</v>
      </c>
      <c r="B1211" t="n">
        <v>2019</v>
      </c>
      <c r="C1211" s="2" t="n">
        <v>43805.50277777778</v>
      </c>
      <c r="D1211" t="inlineStr">
        <is>
          <t>PORTAL AMAZONIA</t>
        </is>
      </c>
      <c r="E1211" t="inlineStr">
        <is>
          <t>VENEZUELANOS</t>
        </is>
      </c>
      <c r="F1211" t="inlineStr">
        <is>
          <t>EDUCAÇÃO</t>
        </is>
      </c>
      <c r="G1211" t="inlineStr">
        <is>
          <t>REDAÇÃO</t>
        </is>
      </c>
      <c r="H1211" t="inlineStr">
        <is>
          <t>ESTUDANTE DE MANAUS GANHA MEDALHA DE OURO EM OLIMPÍADAS BRASILEIRAS DE MATEMÁTICA</t>
        </is>
      </c>
      <c r="I1211" t="inlineStr">
        <is>
          <t>O RESULTADO DO TRABALHO REALIZADO PELA SECRETARIA DE EDUCAÇÃO DE MANAUS NA VALORIZAÇÃO DA EDUCAÇÃO APARECE MAIS UMA VEZ, AGORA COM O ALUNO DANIEL BASTOS AMARAL, ESTUDANTE DO 7º ANO DA ESCOLA MUNICIPAL JOAQUIM GONZAGA PINHEIRO, LOCALIZADA NA ZONA OEST</t>
        </is>
      </c>
      <c r="J1211">
        <f>HYPERLINK("https://portalamazonia.com/noticias/educacao/estudante-de-manaus-ganha-medalha-de-ouro-em-olimpiadas-brasileiras-de-matematica", "URL")</f>
        <v/>
      </c>
      <c r="K1211">
        <f>HYPERLINK("https://raw.githubusercontent.com/marcosmapl/dataset_imigrantes/main/noticias_filtered/portal_amazonia/venezuelanos/2019/11_dez/html/21449.21449_1606.html", "HTML")</f>
        <v/>
      </c>
      <c r="L1211">
        <f>HYPERLINK("https://raw.githubusercontent.com/marcosmapl/dataset_imigrantes/main/noticias_filtered/portal_amazonia/venezuelanos/2019/11_dez/txt/21449.21449_1606.txt", "TXT")</f>
        <v/>
      </c>
    </row>
    <row r="1212">
      <c r="A1212" s="1" t="n">
        <v>1210</v>
      </c>
      <c r="B1212" t="n">
        <v>2019</v>
      </c>
      <c r="C1212" s="2" t="n">
        <v>43804.82759354167</v>
      </c>
      <c r="D1212" t="inlineStr">
        <is>
          <t>G1</t>
        </is>
      </c>
      <c r="E1212" t="inlineStr">
        <is>
          <t>VENEZUELANOS</t>
        </is>
      </c>
      <c r="F1212" t="inlineStr">
        <is>
          <t>MUNDO</t>
        </is>
      </c>
      <c r="G1212" t="inlineStr">
        <is>
          <t>LUCAS VIDIGAL, G1</t>
        </is>
      </c>
      <c r="H1212" t="inlineStr">
        <is>
          <t>DE UMA VEZ, BRASIL APROVA MAIS DE 21 MIL SOLICITAÇÕES DE REFÚGIO DE VENEZUELANOS</t>
        </is>
      </c>
      <c r="I1212" t="inlineStr">
        <is>
          <t>NÚMERO CORRESPONDE A QUASE O DOBRO DO NÚMERO DE REFUGIADOS QUE JÁ HAVIA NO BRASIL. GOVERNO CONSIDERA VENEZUELA EM SITUAÇÃO DE 'GRAVE E GENERALIZADA VIOLAÇÃO AOS DIREITOS HUMANOS', STATUS QUE DÁ MAIS CELERIDADE NA ANÁLISE DOS PEDIDOS.</t>
        </is>
      </c>
      <c r="J1212">
        <f>HYPERLINK("https://g1.globo.com/mundo/noticia/2019/12/05/brasil-aprova-mais-de-21-mil-pedidos-de-refugio-de-venezuelanos.ghtml", "URL")</f>
        <v/>
      </c>
      <c r="K1212">
        <f>HYPERLINK("https://raw.githubusercontent.com/marcosmapl/dataset_imigrantes/main/noticias_filtered/g1/venezuelanos/2019/11_dez/html/g1_3d08ae52-2320-11ed-b24f-6dbe51e79fca_3672.html", "HTML")</f>
        <v/>
      </c>
      <c r="L1212">
        <f>HYPERLINK("https://raw.githubusercontent.com/marcosmapl/dataset_imigrantes/main/noticias_filtered/g1/venezuelanos/2019/11_dez/txt/g1_3d08ae52-2320-11ed-b24f-6dbe51e79fca_3672.txt", "TXT")</f>
        <v/>
      </c>
    </row>
    <row r="1213">
      <c r="A1213" s="1" t="n">
        <v>1211</v>
      </c>
      <c r="B1213" t="n">
        <v>2019</v>
      </c>
      <c r="C1213" s="2" t="n">
        <v>43804.55833333333</v>
      </c>
      <c r="D1213" t="inlineStr">
        <is>
          <t>PORTAL AMAZONIA</t>
        </is>
      </c>
      <c r="E1213" t="inlineStr">
        <is>
          <t>VENEZUELANOS</t>
        </is>
      </c>
      <c r="F1213" t="inlineStr">
        <is>
          <t>CIDADES</t>
        </is>
      </c>
      <c r="G1213" t="inlineStr">
        <is>
          <t>REDAÇÃO</t>
        </is>
      </c>
      <c r="H1213" t="inlineStr">
        <is>
          <t>REFUGIADAS VENEZUELANAS WARAO RECEBEM TREINAMENTO EM ARTESANATO PARA GERAR RENDA EM MANAUS</t>
        </is>
      </c>
      <c r="I1213" t="inlineStr">
        <is>
          <t>A CRIATIVIDADE E O SABER ANCESTRAL DA ETNIA WARAO PODEM SE TORNAR UMA FONTE DE RENDA E ESPERANÇA PARA REFUGIADAS E MIGRANTES DESTA POPULAÇÃO INDÍGENA ACOLHIDA EM MANAUS. UMA PARCERIA DA AGÊNCIA DA ONU PARA REFUGIADOS (ACNUR) E DO FUNDO DE POPULAÇÃO D</t>
        </is>
      </c>
      <c r="J1213">
        <f>HYPERLINK("https://portalamazonia.com/noticias/cidades/refugiadas-venezuelanas-warao-recebem-treinamento-em-artesanato-para-gerar-renda-em-manaus", "URL")</f>
        <v/>
      </c>
      <c r="K1213">
        <f>HYPERLINK("https://raw.githubusercontent.com/marcosmapl/dataset_imigrantes/main/noticias_filtered/portal_amazonia/venezuelanos/2019/11_dez/html/21439.21439_1480.html", "HTML")</f>
        <v/>
      </c>
      <c r="L1213">
        <f>HYPERLINK("https://raw.githubusercontent.com/marcosmapl/dataset_imigrantes/main/noticias_filtered/portal_amazonia/venezuelanos/2019/11_dez/txt/21439.21439_1480.txt", "TXT")</f>
        <v/>
      </c>
    </row>
    <row r="1214">
      <c r="A1214" s="1" t="n">
        <v>1212</v>
      </c>
      <c r="B1214" t="n">
        <v>2019</v>
      </c>
      <c r="C1214" s="2" t="n">
        <v>43803.85496199074</v>
      </c>
      <c r="D1214" t="inlineStr">
        <is>
          <t>G1</t>
        </is>
      </c>
      <c r="E1214" t="inlineStr">
        <is>
          <t>VENEZUELANOS</t>
        </is>
      </c>
      <c r="F1214" t="inlineStr">
        <is>
          <t>RORAIMA</t>
        </is>
      </c>
      <c r="G1214" t="inlineStr">
        <is>
          <t>EMILY COSTA, G1 RR — BOA VISTA</t>
        </is>
      </c>
      <c r="H1214" t="inlineStr">
        <is>
          <t>PUXADA PELA IMIGRAÇÃO VENEZUELANA, RR TEM MAIOR ALTA DE NASCIMENTOS DO PAÍS EM 2018</t>
        </is>
      </c>
      <c r="I1214" t="inlineStr">
        <is>
          <t>ESTADO TEVE ALTA DE 13% NOS NASCIMENTOS E REGISTROS DE CRIANÇAS, APONTA IBGE; MÉDIA NO PAÍS CRESCEU SÓ 1%. NA ÚNICA MATERNIDADE PÚBLICA DO ESTADO, PARTOS DE MÃES VENEZUELANAS CRESCERAM 909% ENTRE 2016 E 2019, SEGUNDO A SECRETARIA DE SAÚDE.</t>
        </is>
      </c>
      <c r="J1214">
        <f>HYPERLINK("https://g1.globo.com/rr/roraima/noticia/2019/12/04/puxada-pela-imigracao-venezuelana-rr-tem-maior-alta-de-nascimentos-do-pais-em-2018.ghtml", "URL")</f>
        <v/>
      </c>
      <c r="K1214">
        <f>HYPERLINK("https://raw.githubusercontent.com/marcosmapl/dataset_imigrantes/main/noticias_filtered/g1/venezuelanos/2019/11_dez/html/g1_7f16c8b6-2310-11ed-b24f-6dbe51e79fca_2860.html", "HTML")</f>
        <v/>
      </c>
      <c r="L1214">
        <f>HYPERLINK("https://raw.githubusercontent.com/marcosmapl/dataset_imigrantes/main/noticias_filtered/g1/venezuelanos/2019/11_dez/txt/g1_7f16c8b6-2310-11ed-b24f-6dbe51e79fca_2860.txt", "TXT")</f>
        <v/>
      </c>
    </row>
    <row r="1215">
      <c r="A1215" s="1" t="n">
        <v>1213</v>
      </c>
      <c r="B1215" t="n">
        <v>2019</v>
      </c>
      <c r="C1215" s="2" t="n">
        <v>43803.81725434028</v>
      </c>
      <c r="D1215" t="inlineStr">
        <is>
          <t>G1</t>
        </is>
      </c>
      <c r="E1215" t="inlineStr">
        <is>
          <t>VENEZUELANOS</t>
        </is>
      </c>
      <c r="F1215" t="inlineStr">
        <is>
          <t>AMAZONAS</t>
        </is>
      </c>
      <c r="G1215" t="inlineStr">
        <is>
          <t>G1 AM</t>
        </is>
      </c>
      <c r="H1215" t="inlineStr">
        <is>
          <t>CURSO DE MANICURE E PEDICURE OFERECE ALTERNATIVA DE RENDA PARA REFUGIADAS E MIGRANTES VENEZUELANAS EM MANAUS</t>
        </is>
      </c>
      <c r="I1215" t="inlineStr">
        <is>
          <t>PROMOVIDA PELA AGÊNCIA DA ONU PARA REFUGIADOS (ACNUR) E PELO CENTRO DE EDUCAÇÃO TECNOLÓGICA DO AMAZONAS (CETAM), INICIATIVA OFERECE OPORTUNIDADES PARA 25 REFUGIADAS NA CIDADE.</t>
        </is>
      </c>
      <c r="J1215">
        <f>HYPERLINK("https://g1.globo.com/am/amazonas/noticia/2019/12/04/curso-de-manicure-e-pedicure-oferece-alternativa-de-renda-para-refugiadas-e-migrantes-venezuelanas-em-manaus.ghtml", "URL")</f>
        <v/>
      </c>
      <c r="K1215">
        <f>HYPERLINK("https://raw.githubusercontent.com/marcosmapl/dataset_imigrantes/main/noticias_filtered/g1/venezuelanos/2019/11_dez/html/g1_d56883ce-2321-11ed-b24f-6dbe51e79fca_3720.html", "HTML")</f>
        <v/>
      </c>
      <c r="L1215">
        <f>HYPERLINK("https://raw.githubusercontent.com/marcosmapl/dataset_imigrantes/main/noticias_filtered/g1/venezuelanos/2019/11_dez/txt/g1_d56883ce-2321-11ed-b24f-6dbe51e79fca_3720.txt", "TXT")</f>
        <v/>
      </c>
    </row>
    <row r="1216">
      <c r="A1216" s="1" t="n">
        <v>1214</v>
      </c>
      <c r="B1216" t="n">
        <v>2019</v>
      </c>
      <c r="C1216" s="2" t="n">
        <v>43803.77558776621</v>
      </c>
      <c r="D1216" t="inlineStr">
        <is>
          <t>G1</t>
        </is>
      </c>
      <c r="E1216" t="inlineStr">
        <is>
          <t>VENEZUELANOS</t>
        </is>
      </c>
      <c r="F1216" t="inlineStr">
        <is>
          <t>AMAZONAS</t>
        </is>
      </c>
      <c r="G1216" t="inlineStr">
        <is>
          <t>G1 AM</t>
        </is>
      </c>
      <c r="H1216" t="inlineStr">
        <is>
          <t>REFUGIADAS VENEZUELANAS WARAO RECEBEM TREINAMENTO EM ARTESANATO PARA GERAR RENDA EM MANAUS</t>
        </is>
      </c>
      <c r="I1216" t="inlineStr">
        <is>
          <t>INICIATIVA BUSCA VALORIZAR CRIAÇÕES INDÍGENAS PARA PROMOVER INTEGRAÇÃO E ALTERNATIVAS À COMUNIDADE REFUGIADA NA CIDADE.</t>
        </is>
      </c>
      <c r="J1216">
        <f>HYPERLINK("https://g1.globo.com/am/amazonas/noticia/2019/12/04/refugiadas-venezuelanas-warao-recebem-treinamento-em-artesanato-para-gerar-renda-em-manaus.ghtml", "URL")</f>
        <v/>
      </c>
      <c r="K1216">
        <f>HYPERLINK("https://raw.githubusercontent.com/marcosmapl/dataset_imigrantes/main/noticias_filtered/g1/venezuelanos/2019/11_dez/html/g1_77399150-2324-11ed-b24f-6dbe51e79fca_3873.html", "HTML")</f>
        <v/>
      </c>
      <c r="L1216">
        <f>HYPERLINK("https://raw.githubusercontent.com/marcosmapl/dataset_imigrantes/main/noticias_filtered/g1/venezuelanos/2019/11_dez/txt/g1_77399150-2324-11ed-b24f-6dbe51e79fca_3873.txt", "TXT")</f>
        <v/>
      </c>
    </row>
    <row r="1217">
      <c r="A1217" s="1" t="n">
        <v>1215</v>
      </c>
      <c r="B1217" t="n">
        <v>2019</v>
      </c>
      <c r="C1217" s="2" t="n">
        <v>43803.75769125</v>
      </c>
      <c r="D1217" t="inlineStr">
        <is>
          <t>G1</t>
        </is>
      </c>
      <c r="E1217" t="inlineStr">
        <is>
          <t>VENEZUELANOS</t>
        </is>
      </c>
      <c r="F1217" t="inlineStr">
        <is>
          <t>RORAIMA</t>
        </is>
      </c>
      <c r="G1217" t="inlineStr">
        <is>
          <t>G1 RR — BOA VISTA</t>
        </is>
      </c>
      <c r="H1217" t="inlineStr">
        <is>
          <t>FEIRA DE EMPREENDEDORISMO REÚNE EXPOSITORES BRASILEIROS E VENEZUELANOS EM BOA VISTA</t>
        </is>
      </c>
      <c r="I1217" t="inlineStr">
        <is>
          <t>AÇÃO OCORRE NESTE SÁBADO (7), NA ESCOLA ESTADUAL ANTONIO FERREIRA DE SOUZA. ENTRADA É GRATUITA.</t>
        </is>
      </c>
      <c r="J1217">
        <f>HYPERLINK("https://g1.globo.com/rr/roraima/noticia/2019/12/04/feira-de-empreendedorismo-reune-expositores-brasileiros-e-venezuelanos-em-boa-vista.ghtml", "URL")</f>
        <v/>
      </c>
      <c r="K1217">
        <f>HYPERLINK("https://raw.githubusercontent.com/marcosmapl/dataset_imigrantes/main/noticias_filtered/g1/venezuelanos/2019/11_dez/html/g1_4b61486a-2325-11ed-b24f-6dbe51e79fca_3905.html", "HTML")</f>
        <v/>
      </c>
      <c r="L1217">
        <f>HYPERLINK("https://raw.githubusercontent.com/marcosmapl/dataset_imigrantes/main/noticias_filtered/g1/venezuelanos/2019/11_dez/txt/g1_4b61486a-2325-11ed-b24f-6dbe51e79fca_3905.txt", "TXT")</f>
        <v/>
      </c>
    </row>
    <row r="1218">
      <c r="A1218" s="1" t="n">
        <v>1216</v>
      </c>
      <c r="B1218" t="n">
        <v>2019</v>
      </c>
      <c r="C1218" s="2" t="n">
        <v>43802.80555555555</v>
      </c>
      <c r="D1218" t="inlineStr">
        <is>
          <t>PORTAL AMAZONIA</t>
        </is>
      </c>
      <c r="E1218" t="inlineStr">
        <is>
          <t>VENEZUELANOS</t>
        </is>
      </c>
      <c r="F1218" t="inlineStr">
        <is>
          <t>EDUCAÇÃO</t>
        </is>
      </c>
      <c r="G1218" t="inlineStr">
        <is>
          <t>REDAÇÃO</t>
        </is>
      </c>
      <c r="H1218" t="inlineStr">
        <is>
          <t>PROJETO QUE INTEGRA ALUNOS BRASILEIROS E VENEZUELANOS EM RR VENCE PRÊMIO INNOVARE</t>
        </is>
      </c>
      <c r="I1218" t="inlineStr">
        <is>
          <t>O PROJETO DUAS CULTURAS E UMA NAÇÃO, DESENVOLVIDO NA ESCOLA ESTADUAL OLAVO BRASIL FILHO, EM BOA VISTA, VENCEU O PRÊMIO INNOVARE NA CATEGORIA JUSTIÇA E CIDADANIA. O RESULTADO COM OS SETE VENCEDORES DE TODO O PAÍS FOI ANUNCIADO NESTA TERÇA-FEIRA (3)</t>
        </is>
      </c>
      <c r="J1218">
        <f>HYPERLINK("https://portalamazonia.com/noticias/educacao/projeto-que-integra-alunos-brasileiros-e-venezuelanos-em-rr-vence-premio-innovare", "URL")</f>
        <v/>
      </c>
      <c r="K1218">
        <f>HYPERLINK("https://raw.githubusercontent.com/marcosmapl/dataset_imigrantes/main/noticias_filtered/portal_amazonia/venezuelanos/2019/11_dez/html/21423.21423_1613.html", "HTML")</f>
        <v/>
      </c>
      <c r="L1218">
        <f>HYPERLINK("https://raw.githubusercontent.com/marcosmapl/dataset_imigrantes/main/noticias_filtered/portal_amazonia/venezuelanos/2019/11_dez/txt/21423.21423_1613.txt", "TXT")</f>
        <v/>
      </c>
    </row>
    <row r="1219">
      <c r="A1219" s="1" t="n">
        <v>1217</v>
      </c>
      <c r="B1219" t="n">
        <v>2019</v>
      </c>
      <c r="C1219" s="2" t="n">
        <v>43802.80121256944</v>
      </c>
      <c r="D1219" t="inlineStr">
        <is>
          <t>G1</t>
        </is>
      </c>
      <c r="E1219" t="inlineStr">
        <is>
          <t>VENEZUELANOS</t>
        </is>
      </c>
      <c r="F1219" t="inlineStr">
        <is>
          <t>RORAIMA</t>
        </is>
      </c>
      <c r="G1219" t="inlineStr">
        <is>
          <t>G1 RR — BOA VISTA</t>
        </is>
      </c>
      <c r="H1219" t="inlineStr">
        <is>
          <t>PROJETO QUE INTEGRA ALUNOS BRASILEIROS E VENEZUELANOS EM RR VENCE PRÊMIO INNOVARE</t>
        </is>
      </c>
      <c r="I1219" t="inlineStr">
        <is>
          <t>INICIATIVA "DUAS CULTURAS E UMA NAÇÃO", DESENVOLVIDA NA ESCOLA PÚBLICA OLAVO BRASIL, FOI PREMIADA NESTA TERÇA-FEIRA (3) NO SUPREMO TRIBUNAL FEDERAL, EM BRASÍLIA.</t>
        </is>
      </c>
      <c r="J1219">
        <f>HYPERLINK("https://g1.globo.com/rr/roraima/noticia/2019/12/03/projeto-que-integra-alunos-brasileiros-e-venezuelanos-em-rr-vence-premio-innovare.ghtml", "URL")</f>
        <v/>
      </c>
      <c r="K1219">
        <f>HYPERLINK("https://raw.githubusercontent.com/marcosmapl/dataset_imigrantes/main/noticias_filtered/g1/venezuelanos/2019/11_dez/html/g1_d54501e8-2325-11ed-b24f-6dbe51e79fca_3936.html", "HTML")</f>
        <v/>
      </c>
      <c r="L1219">
        <f>HYPERLINK("https://raw.githubusercontent.com/marcosmapl/dataset_imigrantes/main/noticias_filtered/g1/venezuelanos/2019/11_dez/txt/g1_d54501e8-2325-11ed-b24f-6dbe51e79fca_3936.txt", "TXT")</f>
        <v/>
      </c>
    </row>
    <row r="1220">
      <c r="A1220" s="1" t="n">
        <v>1218</v>
      </c>
      <c r="B1220" t="n">
        <v>2019</v>
      </c>
      <c r="C1220" s="2" t="n">
        <v>43801.46292421296</v>
      </c>
      <c r="D1220" t="inlineStr">
        <is>
          <t>G1</t>
        </is>
      </c>
      <c r="E1220" t="inlineStr">
        <is>
          <t>HAITIANOS</t>
        </is>
      </c>
      <c r="F1220" t="inlineStr">
        <is>
          <t>SANTA CATARINA</t>
        </is>
      </c>
      <c r="G1220" t="inlineStr">
        <is>
          <t>NSC TV</t>
        </is>
      </c>
      <c r="H1220" t="inlineStr">
        <is>
          <t>CASAL DE HAITIANOS É ENCONTRADO MORTO EM CONDOMÍNIO DE SÃO JOSÉ, NA GRANDE FLORIANÓPOLIS</t>
        </is>
      </c>
      <c r="I1220" t="inlineStr">
        <is>
          <t>A SUSPEITA INICIAL DA POLÍCIA É QUE O HOMEM MATOU A MULHER E DEPOIS TIROU A PRÓPRIA VIDA.</t>
        </is>
      </c>
      <c r="J1220">
        <f>HYPERLINK("https://g1.globo.com/sc/santa-catarina/noticia/2019/12/02/casal-de-haitianos-e-encontrado-morto-em-condominio-de-sao-jose-na-grande-florianopolis.ghtml", "URL")</f>
        <v/>
      </c>
      <c r="K1220">
        <f>HYPERLINK("https://raw.githubusercontent.com/marcosmapl/dataset_imigrantes/main/noticias_filtered/g1/haitianos/2019/11_dez/html/g1_b1ee32a2-22f6-11ed-b24f-6dbe51e79fca_2030.html", "HTML")</f>
        <v/>
      </c>
      <c r="L1220">
        <f>HYPERLINK("https://raw.githubusercontent.com/marcosmapl/dataset_imigrantes/main/noticias_filtered/g1/haitianos/2019/11_dez/txt/g1_b1ee32a2-22f6-11ed-b24f-6dbe51e79fca_2030.txt", "TXT")</f>
        <v/>
      </c>
    </row>
    <row r="1221">
      <c r="A1221" s="1" t="n">
        <v>1219</v>
      </c>
      <c r="B1221" t="n">
        <v>2019</v>
      </c>
      <c r="C1221" s="2" t="n">
        <v>43801.45083333334</v>
      </c>
      <c r="D1221" t="inlineStr">
        <is>
          <t>A CRITICA</t>
        </is>
      </c>
      <c r="E1221" t="inlineStr">
        <is>
          <t>VENEZUELANOS</t>
        </is>
      </c>
      <c r="F1221" t="inlineStr">
        <is>
          <t>OPINIAO</t>
        </is>
      </c>
      <c r="G1221" t="inlineStr"/>
      <c r="H1221" t="inlineStr">
        <is>
          <t>OS IMIGRANTES NA CIDADE</t>
        </is>
      </c>
      <c r="I1221" t="inlineStr"/>
      <c r="J1221">
        <f>HYPERLINK("https://www.acritica.com/opiniao/os-imigrantes-na-cidade-1.228217", "URL")</f>
        <v/>
      </c>
      <c r="K1221">
        <f>HYPERLINK("https://raw.githubusercontent.com/marcosmapl/dataset_imigrantes/main/noticias_filtered/a_critica/venezuelanos/2019/11_dez/html/1.228217_639.html", "HTML")</f>
        <v/>
      </c>
      <c r="L1221">
        <f>HYPERLINK("https://raw.githubusercontent.com/marcosmapl/dataset_imigrantes/main/noticias_filtered/a_critica/venezuelanos/2019/11_dez/txt/1.228217_639.txt", "TXT")</f>
        <v/>
      </c>
    </row>
    <row r="1222">
      <c r="A1222" s="1" t="n">
        <v>1220</v>
      </c>
      <c r="B1222" t="n">
        <v>2019</v>
      </c>
      <c r="C1222" s="2" t="n">
        <v>43800.83728009259</v>
      </c>
      <c r="D1222" t="inlineStr">
        <is>
          <t>A CRITICA</t>
        </is>
      </c>
      <c r="E1222" t="inlineStr">
        <is>
          <t>VENEZUELANOS</t>
        </is>
      </c>
      <c r="F1222" t="inlineStr"/>
      <c r="G1222" t="inlineStr">
        <is>
          <t>AFP</t>
        </is>
      </c>
      <c r="H1222" t="inlineStr">
        <is>
          <t>DENÚNCIAS DE CORRUPÇÃO AMEAÇAM LIDERANÇA DE GUAIDÓ NA VENEZUELA</t>
        </is>
      </c>
      <c r="I1222" t="inlineStr">
        <is>
          <t>UMA INVESTIGAÇÃO JORNALÍSTICA  LIGA NOVE DEPUTADOS DA BASE DE GUAIDÓ A MANOBRAS EM FAVOR DO EMPRESÁRIO COLOMBIANO CARLOS LIZCANO, VINCULADO A UM PROGRAMA DE MADURO PARA DISTRIBUIR ALIMENTOS SUBSIDIADOS.</t>
        </is>
      </c>
      <c r="J1222">
        <f>HYPERLINK("https://www.acritica.com/denuncias-de-corrupc-o-ameacam-lideranca-de-guaido-na-venezuela-1.55500", "URL")</f>
        <v/>
      </c>
      <c r="K1222">
        <f>HYPERLINK("https://raw.githubusercontent.com/marcosmapl/dataset_imigrantes/main/noticias_filtered/a_critica/venezuelanos/2019/11_dez/html/1.55500_544.html", "HTML")</f>
        <v/>
      </c>
      <c r="L1222">
        <f>HYPERLINK("https://raw.githubusercontent.com/marcosmapl/dataset_imigrantes/main/noticias_filtered/a_critica/venezuelanos/2019/11_dez/txt/1.55500_544.txt", "TXT")</f>
        <v/>
      </c>
    </row>
    <row r="1223">
      <c r="A1223" s="1" t="n">
        <v>1221</v>
      </c>
      <c r="B1223" t="n">
        <v>2019</v>
      </c>
      <c r="C1223" s="2" t="n">
        <v>43800.56504170139</v>
      </c>
      <c r="D1223" t="inlineStr">
        <is>
          <t>G1</t>
        </is>
      </c>
      <c r="E1223" t="inlineStr">
        <is>
          <t>VENEZUELANOS</t>
        </is>
      </c>
      <c r="F1223" t="inlineStr">
        <is>
          <t>RORAIMA</t>
        </is>
      </c>
      <c r="G1223" t="inlineStr">
        <is>
          <t>EMILY COSTA, G1 RR — BOA VISTA</t>
        </is>
      </c>
      <c r="H1223" t="inlineStr">
        <is>
          <t>STF HOMOLOGA ACORDO QUE MANTÉM ACOLHIDA A VENEZUELANOS, MAS DESCARTA REPASSES A RR</t>
        </is>
      </c>
      <c r="I1223" t="inlineStr">
        <is>
          <t>UNIÃO E ESTADO CONCORDARAM EM MANTER A REDISTRIBUIÇÃO DE VENEZUELANOS PARA OUTROS ESTADOS E SEGUIR COM A OPERAÇÃO ACOLHIDA. ACORDO FOI FEITO EM AÇÃO DE EX-GOVERNADORA QUE COBRAVA PROVIDÊNCIAS PARA LIDAR COM O FLUXO MIGRATÓRIO.</t>
        </is>
      </c>
      <c r="J1223">
        <f>HYPERLINK("https://g1.globo.com/rr/roraima/noticia/2019/12/01/stf-homologa-acordo-que-mantem-acolhida-a-venezuelanos-mas-descarta-repasses-a-rr.ghtml", "URL")</f>
        <v/>
      </c>
      <c r="K1223">
        <f>HYPERLINK("https://raw.githubusercontent.com/marcosmapl/dataset_imigrantes/main/noticias_filtered/g1/venezuelanos/2019/11_dez/html/g1_502793d4-2322-11ed-b24f-6dbe51e79fca_3746.html", "HTML")</f>
        <v/>
      </c>
      <c r="L1223">
        <f>HYPERLINK("https://raw.githubusercontent.com/marcosmapl/dataset_imigrantes/main/noticias_filtered/g1/venezuelanos/2019/11_dez/txt/g1_502793d4-2322-11ed-b24f-6dbe51e79fca_3746.txt", "TXT")</f>
        <v/>
      </c>
    </row>
    <row r="1224">
      <c r="A1224" s="1" t="n">
        <v>1222</v>
      </c>
      <c r="B1224" t="n">
        <v>2019</v>
      </c>
      <c r="C1224" s="2" t="n">
        <v>43798.52361111111</v>
      </c>
      <c r="D1224" t="inlineStr">
        <is>
          <t>PORTAL AMAZONIA</t>
        </is>
      </c>
      <c r="E1224" t="inlineStr">
        <is>
          <t>VENEZUELANOS</t>
        </is>
      </c>
      <c r="F1224" t="inlineStr">
        <is>
          <t>CIDADES</t>
        </is>
      </c>
      <c r="G1224" t="inlineStr">
        <is>
          <t>REDAÇÃO</t>
        </is>
      </c>
      <c r="H1224" t="inlineStr">
        <is>
          <t>CONCLUÍDA AS OBRAS DE PAVIMENTAÇÃO DA RODOVIA CUIABÁ-SANTARÉM, NO PARÁ</t>
        </is>
      </c>
      <c r="I1224" t="inlineStr">
        <is>
          <t>CONSIDERADA O SEGUNDO MAIOR CORREDOR LOGÍSTICO DO BRASIL, A BR-163 ATINGIU 100% DE EXTENSÃO PAVIMENTADA. O SERVIÇO FOI REALIZADO POR MILITARES DO 8º BATALHÃO DE ENGENHARIA E CONSTRUÇÃO (8º BEC), E DEVE BENEFICIAR TODOS OS TRANSPORTES QUE FAZEM O FLUX</t>
        </is>
      </c>
      <c r="J1224">
        <f>HYPERLINK("https://portalamazonia.com/noticias/cidades/concluida-as-obras-de-pavimentacao-da-rodovia-cuiaba-santarem-no-para", "URL")</f>
        <v/>
      </c>
      <c r="K1224">
        <f>HYPERLINK("https://raw.githubusercontent.com/marcosmapl/dataset_imigrantes/main/noticias_filtered/portal_amazonia/venezuelanos/2019/10_nov/html/21796.21796_1495.html", "HTML")</f>
        <v/>
      </c>
      <c r="L1224">
        <f>HYPERLINK("https://raw.githubusercontent.com/marcosmapl/dataset_imigrantes/main/noticias_filtered/portal_amazonia/venezuelanos/2019/10_nov/txt/21796.21796_1495.txt", "TXT")</f>
        <v/>
      </c>
    </row>
    <row r="1225">
      <c r="A1225" s="1" t="n">
        <v>1223</v>
      </c>
      <c r="B1225" t="n">
        <v>2019</v>
      </c>
      <c r="C1225" s="2" t="n">
        <v>43797.50763888889</v>
      </c>
      <c r="D1225" t="inlineStr">
        <is>
          <t>PORTAL AMAZONIA</t>
        </is>
      </c>
      <c r="E1225" t="inlineStr">
        <is>
          <t>VENEZUELANOS</t>
        </is>
      </c>
      <c r="F1225" t="inlineStr">
        <is>
          <t>CIDADES</t>
        </is>
      </c>
      <c r="G1225" t="inlineStr">
        <is>
          <t>REDAÇÃO</t>
        </is>
      </c>
      <c r="H1225" t="inlineStr">
        <is>
          <t>DPE-AM VAI REFORÇAR ATENDIMENTO A REFUGIADOS E MIGRANTES VENEZUELANOS NA OPERAÇÃO ACOLHIDA</t>
        </is>
      </c>
      <c r="I1225" t="inlineStr">
        <is>
          <t>A DEFENSORIA PÚBLICA DO ESTADO DO AMAZONAS (DPE-AM) VAI REFORÇAR O ATENDIMENTO AOS REFUGIADOS E MIGRANTES VENEZUELANOS NO POSTO DE INTERIORIZAÇÃO E TRIAGEM (PITRIG) DA OPERAÇÃO ACOLHIDA. A PARTIR DO DIA 1º DE DEZEMBRO, A DPE-AM MANTERÁ NO LOCAL DEFEN</t>
        </is>
      </c>
      <c r="J1225">
        <f>HYPERLINK("https://portalamazonia.com/noticias/cidades/dpe-am-vai-reforcar-atendimento-a-refugiados-e-migrantes-venezuelanos-na-operacao-acolhida", "URL")</f>
        <v/>
      </c>
      <c r="K1225">
        <f>HYPERLINK("https://raw.githubusercontent.com/marcosmapl/dataset_imigrantes/main/noticias_filtered/portal_amazonia/venezuelanos/2019/10_nov/html/21784.21784_1452.html", "HTML")</f>
        <v/>
      </c>
      <c r="L1225">
        <f>HYPERLINK("https://raw.githubusercontent.com/marcosmapl/dataset_imigrantes/main/noticias_filtered/portal_amazonia/venezuelanos/2019/10_nov/txt/21784.21784_1452.txt", "TXT")</f>
        <v/>
      </c>
    </row>
    <row r="1226">
      <c r="A1226" s="1" t="n">
        <v>1224</v>
      </c>
      <c r="B1226" t="n">
        <v>2019</v>
      </c>
      <c r="C1226" s="2" t="n">
        <v>43796.47569444445</v>
      </c>
      <c r="D1226" t="inlineStr">
        <is>
          <t>A CRITICA</t>
        </is>
      </c>
      <c r="E1226" t="inlineStr">
        <is>
          <t>VENEZUELANOS</t>
        </is>
      </c>
      <c r="F1226" t="inlineStr"/>
      <c r="G1226" t="inlineStr">
        <is>
          <t>AGÊNCIA BRASIL</t>
        </is>
      </c>
      <c r="H1226" t="inlineStr">
        <is>
          <t>MORTALIDADE INFANTIL TEM REDUÇÃO HISTÓRICA NO BRASIL, APONTA UNICEF</t>
        </is>
      </c>
      <c r="I1226" t="inlineStr">
        <is>
          <t>NO ENTANTO, OS CASOS DE HOMICÍDIOS DE ADOLESCENTES MAIS DO QUE DOBROU ENTRE 1990 E 2007. RELATÓRIO FOI DIVULGADO NESTA QUARTA-FEIRA (27)</t>
        </is>
      </c>
      <c r="J1226">
        <f>HYPERLINK("https://www.acritica.com/mortalidade-infantil-tem-reduc-o-historica-no-brasil-aponta-unicef-1.55078", "URL")</f>
        <v/>
      </c>
      <c r="K1226">
        <f>HYPERLINK("https://raw.githubusercontent.com/marcosmapl/dataset_imigrantes/main/noticias_filtered/a_critica/venezuelanos/2019/10_nov/html/1.55078_1320.html", "HTML")</f>
        <v/>
      </c>
      <c r="L1226">
        <f>HYPERLINK("https://raw.githubusercontent.com/marcosmapl/dataset_imigrantes/main/noticias_filtered/a_critica/venezuelanos/2019/10_nov/txt/1.55078_1320.txt", "TXT")</f>
        <v/>
      </c>
    </row>
    <row r="1227">
      <c r="A1227" s="1" t="n">
        <v>1225</v>
      </c>
      <c r="B1227" t="n">
        <v>2019</v>
      </c>
      <c r="C1227" s="2" t="n">
        <v>43795.73552729167</v>
      </c>
      <c r="D1227" t="inlineStr">
        <is>
          <t>G1</t>
        </is>
      </c>
      <c r="E1227" t="inlineStr">
        <is>
          <t>VENEZUELANOS</t>
        </is>
      </c>
      <c r="F1227" t="inlineStr">
        <is>
          <t>PARÁ</t>
        </is>
      </c>
      <c r="G1227" t="inlineStr">
        <is>
          <t>G1 PA — BELÉM</t>
        </is>
      </c>
      <c r="H1227" t="inlineStr">
        <is>
          <t>PREFEITURA DENUNCIA PROJETO QUE AJUDA REFUGIADOS INDÍGENAS VENEZUELANOS EM BELÉM</t>
        </is>
      </c>
      <c r="I1227" t="inlineStr">
        <is>
          <t>DE ACORDO COM A DENÚNCIA, NENHUMA DOAÇÃO RECEBIDA PELO PROJETO HAVIA SIDO REPASSADA AOS ABRIGOS. O GRUPO É CONHECIDO POR DENÚNCIAS CONTRA A PREFEITURA SOBRE A PÉSSIMA CONDIÇÃO DOS ABRIGOS EXISTENTES.</t>
        </is>
      </c>
      <c r="J1227">
        <f>HYPERLINK("https://g1.globo.com/pa/para/noticia/2019/11/26/prefeitura-denuncia-projeto-que-ajuda-refugiados-indigenas-venezuelanos-em-belem.ghtml", "URL")</f>
        <v/>
      </c>
      <c r="K1227">
        <f>HYPERLINK("https://raw.githubusercontent.com/marcosmapl/dataset_imigrantes/main/noticias_filtered/g1/venezuelanos/2019/10_nov/html/g1_8ae13b7a-2317-11ed-b24f-6dbe51e79fca_3215.html", "HTML")</f>
        <v/>
      </c>
      <c r="L1227">
        <f>HYPERLINK("https://raw.githubusercontent.com/marcosmapl/dataset_imigrantes/main/noticias_filtered/g1/venezuelanos/2019/10_nov/txt/g1_8ae13b7a-2317-11ed-b24f-6dbe51e79fca_3215.txt", "TXT")</f>
        <v/>
      </c>
    </row>
    <row r="1228">
      <c r="A1228" s="1" t="n">
        <v>1226</v>
      </c>
      <c r="B1228" t="n">
        <v>2019</v>
      </c>
      <c r="C1228" s="2" t="n">
        <v>43794.82810185185</v>
      </c>
      <c r="D1228" t="inlineStr">
        <is>
          <t>A CRITICA</t>
        </is>
      </c>
      <c r="E1228" t="inlineStr">
        <is>
          <t>VENEZUELANOS</t>
        </is>
      </c>
      <c r="F1228" t="inlineStr">
        <is>
          <t>MANAUS</t>
        </is>
      </c>
      <c r="G1228" t="inlineStr">
        <is>
          <t>JAN NOGUEIRA</t>
        </is>
      </c>
      <c r="H1228" t="inlineStr">
        <is>
          <t>CORPO DE HOMEM É ENCONTRADO EM ÁREA DE MATA NA ZONA CENTRO-SUL DE MANAUS</t>
        </is>
      </c>
      <c r="I1228" t="inlineStr">
        <is>
          <t>A VÍTIMA, ATÉ O MOMENTO NÃO IDENTIFICADA, ESTAVA COM TRÊS PERFURAÇÕES NA CABEÇA E AS MÃOS AMARRADAS. CADÁVER ESTAVA EM UMA VIA DE ACESSO À AVENIDA DAS TORRES, NO BAIRRO ALEIXO</t>
        </is>
      </c>
      <c r="J1228">
        <f>HYPERLINK("https://www.acritica.com/manaus/corpo-de-homem-e-encontrado-em-area-de-mata-na-zona-centro-sul-de-manaus-1.54991", "URL")</f>
        <v/>
      </c>
      <c r="K1228">
        <f>HYPERLINK("https://raw.githubusercontent.com/marcosmapl/dataset_imigrantes/main/noticias_filtered/a_critica/venezuelanos/2019/10_nov/html/1.54991_147.html", "HTML")</f>
        <v/>
      </c>
      <c r="L1228">
        <f>HYPERLINK("https://raw.githubusercontent.com/marcosmapl/dataset_imigrantes/main/noticias_filtered/a_critica/venezuelanos/2019/10_nov/txt/1.54991_147.txt", "TXT")</f>
        <v/>
      </c>
    </row>
    <row r="1229">
      <c r="A1229" s="1" t="n">
        <v>1227</v>
      </c>
      <c r="B1229" t="n">
        <v>2019</v>
      </c>
      <c r="C1229" s="2" t="n">
        <v>43794.64583333334</v>
      </c>
      <c r="D1229" t="inlineStr">
        <is>
          <t>PORTAL AMAZONIA</t>
        </is>
      </c>
      <c r="E1229" t="inlineStr">
        <is>
          <t>VENEZUELANOS</t>
        </is>
      </c>
      <c r="F1229" t="inlineStr">
        <is>
          <t>EDUCAÇÃO</t>
        </is>
      </c>
      <c r="G1229" t="inlineStr">
        <is>
          <t>REDAÇÃO</t>
        </is>
      </c>
      <c r="H1229" t="inlineStr">
        <is>
          <t>INFOTHON: BOA VISTA RECEBE MARATONA DE INFORMAÇÃO QUE PREMIARÁ ESTUDANTES DE COMUNICAÇÃO</t>
        </is>
      </c>
      <c r="I1229" t="inlineStr">
        <is>
          <t>PRODUZIR UMA REPORTAGEM ESPECIAL SOBRE A PRIMEIRA INFÂNCIA - FASE QUE VAI DA GESTAÇÃO ATÉ OS SEIS ANOS DA CRIANÇA. ESSA É A PROPOSTA DO I INFOTHON BOA VISTA, QUE REÚNE ESTUDANTES DE COMUNICAÇÃO DE RORAIMA, EM PROL DAS DISCUSSÕES SOBRE TRANSPARÊNCIA,</t>
        </is>
      </c>
      <c r="J1229">
        <f>HYPERLINK("https://portalamazonia.com/noticias/educacao/infothon-boa-vista-recebe-maratona-de-informacao-que-premiara-estudantes-de-comunicacao", "URL")</f>
        <v/>
      </c>
      <c r="K1229">
        <f>HYPERLINK("https://raw.githubusercontent.com/marcosmapl/dataset_imigrantes/main/noticias_filtered/portal_amazonia/venezuelanos/2019/10_nov/html/21766.21766_1538.html", "HTML")</f>
        <v/>
      </c>
      <c r="L1229">
        <f>HYPERLINK("https://raw.githubusercontent.com/marcosmapl/dataset_imigrantes/main/noticias_filtered/portal_amazonia/venezuelanos/2019/10_nov/txt/21766.21766_1538.txt", "TXT")</f>
        <v/>
      </c>
    </row>
    <row r="1230">
      <c r="A1230" s="1" t="n">
        <v>1228</v>
      </c>
      <c r="B1230" t="n">
        <v>2019</v>
      </c>
      <c r="C1230" s="2" t="n">
        <v>43793.76756944445</v>
      </c>
      <c r="D1230" t="inlineStr">
        <is>
          <t>A CRITICA</t>
        </is>
      </c>
      <c r="E1230" t="inlineStr">
        <is>
          <t>AMBOS</t>
        </is>
      </c>
      <c r="F1230" t="inlineStr">
        <is>
          <t>OPINIAO</t>
        </is>
      </c>
      <c r="G1230" t="inlineStr"/>
      <c r="H1230" t="inlineStr">
        <is>
          <t>IMIGRANTES, SOFRIMENTO EM DOBRO</t>
        </is>
      </c>
      <c r="I1230" t="inlineStr"/>
      <c r="J1230">
        <f>HYPERLINK("https://www.acritica.com/opiniao/imigrantes-sofrimento-em-dobro-1.227933", "URL")</f>
        <v/>
      </c>
      <c r="K1230">
        <f>HYPERLINK("https://raw.githubusercontent.com/marcosmapl/dataset_imigrantes/main/noticias_filtered/a_critica/ambos/2019/10_nov/html/1.227933_198.html", "HTML")</f>
        <v/>
      </c>
      <c r="L1230">
        <f>HYPERLINK("https://raw.githubusercontent.com/marcosmapl/dataset_imigrantes/main/noticias_filtered/a_critica/ambos/2019/10_nov/txt/1.227933_198.txt", "TXT")</f>
        <v/>
      </c>
    </row>
    <row r="1231">
      <c r="A1231" s="1" t="n">
        <v>1229</v>
      </c>
      <c r="B1231" t="n">
        <v>2019</v>
      </c>
      <c r="C1231" s="2" t="n">
        <v>43792.02755202547</v>
      </c>
      <c r="D1231" t="inlineStr">
        <is>
          <t>G1</t>
        </is>
      </c>
      <c r="E1231" t="inlineStr">
        <is>
          <t>VENEZUELANOS</t>
        </is>
      </c>
      <c r="F1231" t="inlineStr">
        <is>
          <t>TOCANTINS</t>
        </is>
      </c>
      <c r="G1231" t="inlineStr">
        <is>
          <t>TV ANHANGUERA</t>
        </is>
      </c>
      <c r="H1231" t="inlineStr">
        <is>
          <t>FAMÍLIAS DE VENEZUELANOS REFUGIADOS EM PALMAS DEVEM IR PARA ABRIGO EM LUZIMANGUES</t>
        </is>
      </c>
      <c r="I1231" t="inlineStr">
        <is>
          <t>ESPAÇO CONTA COM UM SALÃO, TRÊS SALAS DE AULA, COZINHA E BANHEIRO. OBRAS EMERGENCIAIS PARA ADAPTAR O AMBIENTE SERÃO REALIZADAS.</t>
        </is>
      </c>
      <c r="J1231">
        <f>HYPERLINK("https://g1.globo.com/to/tocantins/noticia/2019/11/22/familias-de-venezuelanos-refugiados-em-palmas-devem-ir-para-abrigo-em-luzimangues.ghtml", "URL")</f>
        <v/>
      </c>
      <c r="K1231">
        <f>HYPERLINK("https://raw.githubusercontent.com/marcosmapl/dataset_imigrantes/main/noticias_filtered/g1/venezuelanos/2019/10_nov/html/g1_389bb024-2313-11ed-b24f-6dbe51e79fca_3000.html", "HTML")</f>
        <v/>
      </c>
      <c r="L1231">
        <f>HYPERLINK("https://raw.githubusercontent.com/marcosmapl/dataset_imigrantes/main/noticias_filtered/g1/venezuelanos/2019/10_nov/txt/g1_389bb024-2313-11ed-b24f-6dbe51e79fca_3000.txt", "TXT")</f>
        <v/>
      </c>
    </row>
    <row r="1232">
      <c r="A1232" s="1" t="n">
        <v>1230</v>
      </c>
      <c r="B1232" t="n">
        <v>2019</v>
      </c>
      <c r="C1232" s="2" t="n">
        <v>43791.55580445602</v>
      </c>
      <c r="D1232" t="inlineStr">
        <is>
          <t>G1</t>
        </is>
      </c>
      <c r="E1232" t="inlineStr">
        <is>
          <t>VENEZUELANOS</t>
        </is>
      </c>
      <c r="F1232" t="inlineStr">
        <is>
          <t>TOCANTINS</t>
        </is>
      </c>
      <c r="G1232" t="inlineStr">
        <is>
          <t>TV ANHANGUERA</t>
        </is>
      </c>
      <c r="H1232" t="inlineStr">
        <is>
          <t>VENEZUELANOS QUE ESTÃO EM PALMAS TENTAM SE FIXAR EM ALGUM LUGAR DO BRASIL HÁ DOIS ANOS</t>
        </is>
      </c>
      <c r="I1232" t="inlineStr">
        <is>
          <t>FAMÍLIAS DE VENEZUELANOS INDÍGENAS ESTÃO HÁ DUAS SEMANAS NA RODOVIÁRIA DA CAPITAL. LÍDER DO GRUPO DISSE QUE REFUGIADOS ESTÃO À PROCURA DE ESCOLA PARA AS CRIANÇAS, TRABALHO E MORADIA.</t>
        </is>
      </c>
      <c r="J1232">
        <f>HYPERLINK("https://g1.globo.com/to/tocantins/noticia/2019/11/22/venezuelanos-que-estao-em-palmas-tentam-se-fixar-em-algum-lugar-do-brasil-ha-dois-anos.ghtml", "URL")</f>
        <v/>
      </c>
      <c r="K1232">
        <f>HYPERLINK("https://raw.githubusercontent.com/marcosmapl/dataset_imigrantes/main/noticias_filtered/g1/venezuelanos/2019/10_nov/html/g1_1abf445a-2311-11ed-b24f-6dbe51e79fca_2898.html", "HTML")</f>
        <v/>
      </c>
      <c r="L1232">
        <f>HYPERLINK("https://raw.githubusercontent.com/marcosmapl/dataset_imigrantes/main/noticias_filtered/g1/venezuelanos/2019/10_nov/txt/g1_1abf445a-2311-11ed-b24f-6dbe51e79fca_2898.txt", "TXT")</f>
        <v/>
      </c>
    </row>
    <row r="1233">
      <c r="A1233" s="1" t="n">
        <v>1231</v>
      </c>
      <c r="B1233" t="n">
        <v>2019</v>
      </c>
      <c r="C1233" s="2" t="n">
        <v>43791.44461805555</v>
      </c>
      <c r="D1233" t="inlineStr">
        <is>
          <t>A CRITICA</t>
        </is>
      </c>
      <c r="E1233" t="inlineStr">
        <is>
          <t>VENEZUELANOS</t>
        </is>
      </c>
      <c r="F1233" t="inlineStr">
        <is>
          <t>MANAUS</t>
        </is>
      </c>
      <c r="G1233" t="inlineStr">
        <is>
          <t>LUANA GOMES</t>
        </is>
      </c>
      <c r="H1233" t="inlineStr">
        <is>
          <t>EMPREENDIMENTOS DE MANAUS SE UNEM EM PROL DE AÇÃO NATALINA SUSTENTÁVEL</t>
        </is>
      </c>
      <c r="I1233" t="inlineStr">
        <is>
          <t>AUTOINTITULADO ‘4 ESQUINAS’, O GRUPO DE EMPREENDEDORES REALIZAM ATIVIDADES DE DECORAÇÃO DOS ESPAÇOS COM INICIATIVA ECOLÓGICA, ALÉM DE AÇÕES SOLIDÁRIAS COM ARRECADAÇÃO DE FUNDOS PARA INSTITUIÇÕES SOLIDÁRIAS</t>
        </is>
      </c>
      <c r="J1233">
        <f>HYPERLINK("https://www.acritica.com/manaus/empreendimentos-de-manaus-se-unem-em-prol-de-ac-o-natalina-sustentavel-1.54712", "URL")</f>
        <v/>
      </c>
      <c r="K1233">
        <f>HYPERLINK("https://raw.githubusercontent.com/marcosmapl/dataset_imigrantes/main/noticias_filtered/a_critica/venezuelanos/2019/10_nov/html/1.54712_712.html", "HTML")</f>
        <v/>
      </c>
      <c r="L1233">
        <f>HYPERLINK("https://raw.githubusercontent.com/marcosmapl/dataset_imigrantes/main/noticias_filtered/a_critica/venezuelanos/2019/10_nov/txt/1.54712_712.txt", "TXT")</f>
        <v/>
      </c>
    </row>
    <row r="1234">
      <c r="A1234" s="1" t="n">
        <v>1232</v>
      </c>
      <c r="B1234" t="n">
        <v>2019</v>
      </c>
      <c r="C1234" s="2" t="n">
        <v>43790.86633883102</v>
      </c>
      <c r="D1234" t="inlineStr">
        <is>
          <t>G1</t>
        </is>
      </c>
      <c r="E1234" t="inlineStr">
        <is>
          <t>VENEZUELANOS</t>
        </is>
      </c>
      <c r="F1234" t="inlineStr">
        <is>
          <t>RORAIMA</t>
        </is>
      </c>
      <c r="G1234" t="inlineStr">
        <is>
          <t>G1 RR — BOA VISTA</t>
        </is>
      </c>
      <c r="H1234" t="inlineStr">
        <is>
          <t>EVENTO DE INOVAÇÃO SOCIAL PARA ADOLESCENTES E JOVENS ESTÁ COM INSCRIÇÕES ABERTAS EM RORAIMA</t>
        </is>
      </c>
      <c r="I1234" t="inlineStr">
        <is>
          <t>FOCO SERÁ A MIGRAÇÃO VENEZUELANA NO ESTADO.</t>
        </is>
      </c>
      <c r="J1234">
        <f>HYPERLINK("https://g1.globo.com/rr/roraima/noticia/2019/11/21/evento-de-inovacao-social-para-adolescentes-e-jovens-esta-com-inscricoes-abertas-em-roraima.ghtml", "URL")</f>
        <v/>
      </c>
      <c r="K1234">
        <f>HYPERLINK("https://raw.githubusercontent.com/marcosmapl/dataset_imigrantes/main/noticias_filtered/g1/venezuelanos/2019/10_nov/html/g1_9f0f9c86-230d-11ed-b24f-6dbe51e79fca_2698.html", "HTML")</f>
        <v/>
      </c>
      <c r="L1234">
        <f>HYPERLINK("https://raw.githubusercontent.com/marcosmapl/dataset_imigrantes/main/noticias_filtered/g1/venezuelanos/2019/10_nov/txt/g1_9f0f9c86-230d-11ed-b24f-6dbe51e79fca_2698.txt", "TXT")</f>
        <v/>
      </c>
    </row>
    <row r="1235">
      <c r="A1235" s="1" t="n">
        <v>1233</v>
      </c>
      <c r="B1235" t="n">
        <v>2019</v>
      </c>
      <c r="C1235" s="2" t="n">
        <v>43790.61023424769</v>
      </c>
      <c r="D1235" t="inlineStr">
        <is>
          <t>G1</t>
        </is>
      </c>
      <c r="E1235" t="inlineStr">
        <is>
          <t>VENEZUELANOS</t>
        </is>
      </c>
      <c r="F1235" t="inlineStr">
        <is>
          <t>RONDÔNIA</t>
        </is>
      </c>
      <c r="G1235" t="inlineStr">
        <is>
          <t>G1 RO — PORTO VELHO</t>
        </is>
      </c>
      <c r="H1235" t="inlineStr">
        <is>
          <t>CADASTRO ESCOLAR PARA CRIANÇAS VENEZUELANAS INICIA DIA 9 DE DEZEMBRO EM PORTO VELHO</t>
        </is>
      </c>
      <c r="I1235" t="inlineStr">
        <is>
          <t>CADASTRO ESCOLAR 2020 PARA REDE MUNICIPAL É DESTINADO À CRIANÇAS QUE QUEREM INGRESSAR NA EDUCAÇÃO INFANTIL E ENSINO FUNDAMENTAL.</t>
        </is>
      </c>
      <c r="J1235">
        <f>HYPERLINK("https://g1.globo.com/ro/rondonia/noticia/2019/11/21/cadastro-escolar-para-criancas-venezuelanas-inicia-dia-9-de-dezembro-em-porto-velho.ghtml", "URL")</f>
        <v/>
      </c>
      <c r="K1235">
        <f>HYPERLINK("https://raw.githubusercontent.com/marcosmapl/dataset_imigrantes/main/noticias_filtered/g1/venezuelanos/2019/10_nov/html/g1_e6dac21e-230f-11ed-b24f-6dbe51e79fca_2826.html", "HTML")</f>
        <v/>
      </c>
      <c r="L1235">
        <f>HYPERLINK("https://raw.githubusercontent.com/marcosmapl/dataset_imigrantes/main/noticias_filtered/g1/venezuelanos/2019/10_nov/txt/g1_e6dac21e-230f-11ed-b24f-6dbe51e79fca_2826.txt", "TXT")</f>
        <v/>
      </c>
    </row>
    <row r="1236">
      <c r="A1236" s="1" t="n">
        <v>1234</v>
      </c>
      <c r="B1236" t="n">
        <v>2019</v>
      </c>
      <c r="C1236" s="2" t="n">
        <v>43789.89785287037</v>
      </c>
      <c r="D1236" t="inlineStr">
        <is>
          <t>G1</t>
        </is>
      </c>
      <c r="E1236" t="inlineStr">
        <is>
          <t>VENEZUELANOS</t>
        </is>
      </c>
      <c r="F1236" t="inlineStr">
        <is>
          <t>MUNDO</t>
        </is>
      </c>
      <c r="G1236" t="inlineStr">
        <is>
          <t>BBC</t>
        </is>
      </c>
      <c r="H1236" t="inlineStr">
        <is>
          <t>CRISE NA VENEZUELA: A VIDA NO COUNTRY CLUB DE CARACAS, OÁSIS DE RIQUEZA NO PAÍS</t>
        </is>
      </c>
      <c r="I1236" t="inlineStr">
        <is>
          <t>RICA ÁREA DA CAPITAL VENEZUELANA TAMBÉM NÃO ESTÁ IMUNE À CRISE QUE ASSOLA O PAÍS E ENFRENTA MIGRAÇÃO EM MASSA E EFEITOS DA HIPERINFLAÇÃO.</t>
        </is>
      </c>
      <c r="J1236">
        <f>HYPERLINK("https://g1.globo.com/mundo/noticia/2019/11/20/crise-na-venezuela-a-vida-no-country-club-de-caracas-oasis-de-riqueza-no-pais.ghtml", "URL")</f>
        <v/>
      </c>
      <c r="K1236">
        <f>HYPERLINK("https://raw.githubusercontent.com/marcosmapl/dataset_imigrantes/main/noticias_filtered/g1/venezuelanos/2019/10_nov/html/g1_4c8e5ab0-231c-11ed-b24f-6dbe51e79fca_3438.html", "HTML")</f>
        <v/>
      </c>
      <c r="L1236">
        <f>HYPERLINK("https://raw.githubusercontent.com/marcosmapl/dataset_imigrantes/main/noticias_filtered/g1/venezuelanos/2019/10_nov/txt/g1_4c8e5ab0-231c-11ed-b24f-6dbe51e79fca_3438.txt", "TXT")</f>
        <v/>
      </c>
    </row>
    <row r="1237">
      <c r="A1237" s="1" t="n">
        <v>1235</v>
      </c>
      <c r="B1237" t="n">
        <v>2019</v>
      </c>
      <c r="C1237" s="2" t="n">
        <v>43788.93055555555</v>
      </c>
      <c r="D1237" t="inlineStr">
        <is>
          <t>A CRITICA</t>
        </is>
      </c>
      <c r="E1237" t="inlineStr">
        <is>
          <t>VENEZUELANOS</t>
        </is>
      </c>
      <c r="F1237" t="inlineStr">
        <is>
          <t>MANAUS</t>
        </is>
      </c>
      <c r="G1237" t="inlineStr">
        <is>
          <t>ROBSON ADRIANO</t>
        </is>
      </c>
      <c r="H1237" t="inlineStr">
        <is>
          <t>REFUGIADOS ENFRENTAM HORAS EM FILAS PARA CONSEGUIR ATENDIMENTO EM POSTO DE INTERIORIZAÇÃO</t>
        </is>
      </c>
      <c r="I1237" t="inlineStr">
        <is>
          <t>EM UM TERRENO LOCALIZADO AO LADO DO POSTO DE INTERIORIZAÇÃO E TRIAGEM DA OPERAÇÃO ACOLHIDA, REFUGIADOS E MIGRANTES VENEZUELANOS AGUARDAM EM CONDIÇÕES INSALUBRES A AJUDA HUMANITÁRIA</t>
        </is>
      </c>
      <c r="J1237">
        <f>HYPERLINK("https://www.acritica.com/manaus/refugiados-enfrentam-horas-em-filas-para-conseguir-atendimento-em-posto-de-interiorizac-o-1.54605", "URL")</f>
        <v/>
      </c>
      <c r="K1237">
        <f>HYPERLINK("https://raw.githubusercontent.com/marcosmapl/dataset_imigrantes/main/noticias_filtered/a_critica/venezuelanos/2019/10_nov/html/1.54605_339.html", "HTML")</f>
        <v/>
      </c>
      <c r="L1237">
        <f>HYPERLINK("https://raw.githubusercontent.com/marcosmapl/dataset_imigrantes/main/noticias_filtered/a_critica/venezuelanos/2019/10_nov/txt/1.54605_339.txt", "TXT")</f>
        <v/>
      </c>
    </row>
    <row r="1238">
      <c r="A1238" s="1" t="n">
        <v>1236</v>
      </c>
      <c r="B1238" t="n">
        <v>2019</v>
      </c>
      <c r="C1238" s="2" t="n">
        <v>43788.73739583333</v>
      </c>
      <c r="D1238" t="inlineStr">
        <is>
          <t>A CRITICA</t>
        </is>
      </c>
      <c r="E1238" t="inlineStr">
        <is>
          <t>VENEZUELANOS</t>
        </is>
      </c>
      <c r="F1238" t="inlineStr"/>
      <c r="G1238" t="inlineStr">
        <is>
          <t>PORTAL A CRÍTICA</t>
        </is>
      </c>
      <c r="H1238" t="inlineStr">
        <is>
          <t>CASA DE ABRIGO VAI BENEFICIAR VENEZUELANOS EM SÃO GABRIEL DA CACHOEIRA</t>
        </is>
      </c>
      <c r="I1238" t="inlineStr">
        <is>
          <t>PROJETO COMPANHIA DE DESENVOLVIMENTO DO AMAZONAS (CIAMA) VAI ATENDER MAIS DE 600 REFUGIADOS E SERÁ SUBMETIDO À APRECIAÇÃO DO CONSULADO JAPONÊS PARA FINANCIAMENTO</t>
        </is>
      </c>
      <c r="J1238">
        <f>HYPERLINK("https://www.acritica.com/casa-de-abrigo-vai-beneficiar-venezuelanos-em-s-o-gabriel-da-cachoeira-1.54595", "URL")</f>
        <v/>
      </c>
      <c r="K1238">
        <f>HYPERLINK("https://raw.githubusercontent.com/marcosmapl/dataset_imigrantes/main/noticias_filtered/a_critica/venezuelanos/2019/10_nov/html/1.54595_282.html", "HTML")</f>
        <v/>
      </c>
      <c r="L1238">
        <f>HYPERLINK("https://raw.githubusercontent.com/marcosmapl/dataset_imigrantes/main/noticias_filtered/a_critica/venezuelanos/2019/10_nov/txt/1.54595_282.txt", "TXT")</f>
        <v/>
      </c>
    </row>
    <row r="1239">
      <c r="A1239" s="1" t="n">
        <v>1237</v>
      </c>
      <c r="B1239" t="n">
        <v>2019</v>
      </c>
      <c r="C1239" s="2" t="n">
        <v>43788.05486611111</v>
      </c>
      <c r="D1239" t="inlineStr">
        <is>
          <t>G1</t>
        </is>
      </c>
      <c r="E1239" t="inlineStr">
        <is>
          <t>VENEZUELANOS</t>
        </is>
      </c>
      <c r="F1239" t="inlineStr">
        <is>
          <t>PARÁ</t>
        </is>
      </c>
      <c r="G1239" t="inlineStr">
        <is>
          <t>G1 PA — BELÉM</t>
        </is>
      </c>
      <c r="H1239" t="inlineStr">
        <is>
          <t>ONU E PREFEITURA DE BELÉM ASSINAM PARCERIA PARA ATENDIMENTO HUMANITÁRIO A REFUGIADOS VENEZUELANOS</t>
        </is>
      </c>
      <c r="I1239" t="inlineStr">
        <is>
          <t>A CAPITAL FOI A CIDADE QUE MAIS RECEBEU REFUGIADOS VENEZUELANOS EM 2018 NO PARÁ. BELÉM CHEGOU A DECLARAR SITUAÇÃO DE EMERGÊNCIA DIANTE DO INTENSO FLUXO MIGRATÓRIO. PARCERIA QUER GARANTIR AÇÕES DE SAÚDE E ASSISTÊNCIA SOCIAL AOS GRUPOS.</t>
        </is>
      </c>
      <c r="J1239">
        <f>HYPERLINK("https://g1.globo.com/pa/para/noticia/2019/11/18/onu-e-prefeitura-de-belem-assinam-parceria-para-atendimento-humanitario-a-refugiados-venezuelanos.ghtml", "URL")</f>
        <v/>
      </c>
      <c r="K1239">
        <f>HYPERLINK("https://raw.githubusercontent.com/marcosmapl/dataset_imigrantes/main/noticias_filtered/g1/venezuelanos/2019/10_nov/html/g1_7b878728-231d-11ed-b24f-6dbe51e79fca_3503.html", "HTML")</f>
        <v/>
      </c>
      <c r="L1239">
        <f>HYPERLINK("https://raw.githubusercontent.com/marcosmapl/dataset_imigrantes/main/noticias_filtered/g1/venezuelanos/2019/10_nov/txt/g1_7b878728-231d-11ed-b24f-6dbe51e79fca_3503.txt", "TXT")</f>
        <v/>
      </c>
    </row>
    <row r="1240">
      <c r="A1240" s="1" t="n">
        <v>1238</v>
      </c>
      <c r="B1240" t="n">
        <v>2019</v>
      </c>
      <c r="C1240" s="2" t="n">
        <v>43787.65007114584</v>
      </c>
      <c r="D1240" t="inlineStr">
        <is>
          <t>G1</t>
        </is>
      </c>
      <c r="E1240" t="inlineStr">
        <is>
          <t>VENEZUELANOS</t>
        </is>
      </c>
      <c r="F1240" t="inlineStr">
        <is>
          <t>CEARÁ</t>
        </is>
      </c>
      <c r="G1240" t="inlineStr">
        <is>
          <t>RODRIGO RODRIGUES E MARISTELA GLÁUCIA, G1 CE</t>
        </is>
      </c>
      <c r="H1240" t="inlineStr">
        <is>
          <t>GRUPO DE 30 VENEZUELANOS SE REFUGIA NO INTERIOR DO CEARÁ E VIVE EM LOCAL ABANDONADO</t>
        </is>
      </c>
      <c r="I1240" t="inlineStr">
        <is>
          <t>UMA GRÁVIDA E 15 CRIANÇAS ESTÃO ENTRE OS VENEZUELANOS REFUGIADOS NO MUNICÍPIO DE SOBRAL. PARÓQUIA DA CIDADE DEVE CEDER LOCAL ADEQUADO AO GRUPO.</t>
        </is>
      </c>
      <c r="J1240">
        <f>HYPERLINK("https://g1.globo.com/ce/ceara/noticia/2019/11/18/grupo-de-30-venezuelanos-se-refugia-em-sobral-e-vive-em-local-abandonado.ghtml", "URL")</f>
        <v/>
      </c>
      <c r="K1240">
        <f>HYPERLINK("https://raw.githubusercontent.com/marcosmapl/dataset_imigrantes/main/noticias_filtered/g1/venezuelanos/2019/10_nov/html/g1_a879f15a-2325-11ed-b24f-6dbe51e79fca_3926.html", "HTML")</f>
        <v/>
      </c>
      <c r="L1240">
        <f>HYPERLINK("https://raw.githubusercontent.com/marcosmapl/dataset_imigrantes/main/noticias_filtered/g1/venezuelanos/2019/10_nov/txt/g1_a879f15a-2325-11ed-b24f-6dbe51e79fca_3926.txt", "TXT")</f>
        <v/>
      </c>
    </row>
    <row r="1241">
      <c r="A1241" s="1" t="n">
        <v>1239</v>
      </c>
      <c r="B1241" t="n">
        <v>2019</v>
      </c>
      <c r="C1241" s="2" t="n">
        <v>43787.54078686343</v>
      </c>
      <c r="D1241" t="inlineStr">
        <is>
          <t>G1</t>
        </is>
      </c>
      <c r="E1241" t="inlineStr">
        <is>
          <t>VENEZUELANOS</t>
        </is>
      </c>
      <c r="F1241" t="inlineStr">
        <is>
          <t>ECONOMIA</t>
        </is>
      </c>
      <c r="G1241" t="inlineStr">
        <is>
          <t>REUTERS</t>
        </is>
      </c>
      <c r="H1241" t="inlineStr">
        <is>
          <t>MADURO DIZ QUE DOLARIZAÇÃO DA ECONOMIA DA VENEZUELA É 'VÁLVULA DE ESCAPE'</t>
        </is>
      </c>
      <c r="I1241" t="inlineStr">
        <is>
          <t>O BOLÍVAR, A MOEDA OFICIAL VENEZUELANA, SE DEPRECIOU MAIS DE 90% NESTE ANO.</t>
        </is>
      </c>
      <c r="J1241">
        <f>HYPERLINK("https://g1.globo.com/economia/noticia/2019/11/18/maduro-diz-que-dolarizacao-da-economia-da-venezuela-e-valvula-de-escape.ghtml", "URL")</f>
        <v/>
      </c>
      <c r="K1241">
        <f>HYPERLINK("https://raw.githubusercontent.com/marcosmapl/dataset_imigrantes/main/noticias_filtered/g1/venezuelanos/2019/10_nov/html/g1_ee7a745a-231f-11ed-b24f-6dbe51e79fca_3652.html", "HTML")</f>
        <v/>
      </c>
      <c r="L1241">
        <f>HYPERLINK("https://raw.githubusercontent.com/marcosmapl/dataset_imigrantes/main/noticias_filtered/g1/venezuelanos/2019/10_nov/txt/g1_ee7a745a-231f-11ed-b24f-6dbe51e79fca_3652.txt", "TXT")</f>
        <v/>
      </c>
    </row>
    <row r="1242">
      <c r="A1242" s="1" t="n">
        <v>1240</v>
      </c>
      <c r="B1242" t="n">
        <v>2019</v>
      </c>
      <c r="C1242" s="2" t="n">
        <v>43787.51597222222</v>
      </c>
      <c r="D1242" t="inlineStr">
        <is>
          <t>A CRITICA</t>
        </is>
      </c>
      <c r="E1242" t="inlineStr">
        <is>
          <t>VENEZUELANOS</t>
        </is>
      </c>
      <c r="F1242" t="inlineStr">
        <is>
          <t>MANAUS</t>
        </is>
      </c>
      <c r="G1242" t="inlineStr">
        <is>
          <t>AGÊNCIA BRASIL</t>
        </is>
      </c>
      <c r="H1242" t="inlineStr">
        <is>
          <t>AM TEM AÇÃO EXEMPLAR NA ACOLHIDA DE CRIANÇAS MIGRANTES, DIZ UNICEF</t>
        </is>
      </c>
      <c r="I1242" t="inlineStr">
        <is>
          <t>DESDE 2017, MAIS DE 200 MIL PESSOAS JÁ ENTRARAM NO BRASIL FUGINDO DA CRISE ECONÔMICA, POLÍTICA E SOCIAL NA VENEZUELA</t>
        </is>
      </c>
      <c r="J1242">
        <f>HYPERLINK("https://www.acritica.com/manaus/am-tem-ac-o-exemplar-na-acolhida-de-criancas-migrantes-diz-unicef-1.54418", "URL")</f>
        <v/>
      </c>
      <c r="K1242">
        <f>HYPERLINK("https://raw.githubusercontent.com/marcosmapl/dataset_imigrantes/main/noticias_filtered/a_critica/venezuelanos/2019/10_nov/html/1.54418_61.html", "HTML")</f>
        <v/>
      </c>
      <c r="L1242">
        <f>HYPERLINK("https://raw.githubusercontent.com/marcosmapl/dataset_imigrantes/main/noticias_filtered/a_critica/venezuelanos/2019/10_nov/txt/1.54418_61.txt", "TXT")</f>
        <v/>
      </c>
    </row>
    <row r="1243">
      <c r="A1243" s="1" t="n">
        <v>1241</v>
      </c>
      <c r="B1243" t="n">
        <v>2019</v>
      </c>
      <c r="C1243" s="2" t="n">
        <v>43786.86691475695</v>
      </c>
      <c r="D1243" t="inlineStr">
        <is>
          <t>G1</t>
        </is>
      </c>
      <c r="E1243" t="inlineStr">
        <is>
          <t>VENEZUELANOS</t>
        </is>
      </c>
      <c r="F1243" t="inlineStr">
        <is>
          <t>MUNDO</t>
        </is>
      </c>
      <c r="G1243" t="inlineStr">
        <is>
          <t>BBC</t>
        </is>
      </c>
      <c r="H1243" t="inlineStr">
        <is>
          <t>POR QUE OS VENEZUELANOS NÃO ESTÃO PROTESTANDO TANTO QUANTO CIDADÃOS DE OUTROS PAÍSES DA AMÉRICA LATINA</t>
        </is>
      </c>
      <c r="I1243" t="inlineStr">
        <is>
          <t>AS MARCHAS CONVOCADAS PELO GOVERNO E PELA OPOSIÇÃO DIMINUEM AO MESMO TEMPO EM QUE CONFLITOS AUMENTAM EM OUTROS PAÍSES DA REGIÃO.</t>
        </is>
      </c>
      <c r="J1243">
        <f>HYPERLINK("https://g1.globo.com/mundo/noticia/2019/11/17/por-que-os-venezuelanos-nao-estao-protestando-tanto-quanto-cidadaos-de-outros-paises-da-america-latina.ghtml", "URL")</f>
        <v/>
      </c>
      <c r="K1243">
        <f>HYPERLINK("https://raw.githubusercontent.com/marcosmapl/dataset_imigrantes/main/noticias_filtered/g1/venezuelanos/2019/10_nov/html/g1_c5553650-231f-11ed-b24f-6dbe51e79fca_3643.html", "HTML")</f>
        <v/>
      </c>
      <c r="L1243">
        <f>HYPERLINK("https://raw.githubusercontent.com/marcosmapl/dataset_imigrantes/main/noticias_filtered/g1/venezuelanos/2019/10_nov/txt/g1_c5553650-231f-11ed-b24f-6dbe51e79fca_3643.txt", "TXT")</f>
        <v/>
      </c>
    </row>
    <row r="1244">
      <c r="A1244" s="1" t="n">
        <v>1242</v>
      </c>
      <c r="B1244" t="n">
        <v>2019</v>
      </c>
      <c r="C1244" s="2" t="n">
        <v>43786.69302979167</v>
      </c>
      <c r="D1244" t="inlineStr">
        <is>
          <t>G1</t>
        </is>
      </c>
      <c r="E1244" t="inlineStr">
        <is>
          <t>VENEZUELANOS</t>
        </is>
      </c>
      <c r="F1244" t="inlineStr">
        <is>
          <t>MUNDO</t>
        </is>
      </c>
      <c r="G1244" t="inlineStr">
        <is>
          <t>FRANCE PRESSE</t>
        </is>
      </c>
      <c r="H1244" t="inlineStr">
        <is>
          <t>MADURO DIZ QUE PRENDEU MILITARES POR APOIAR SUPOSTO COMPLÔ DOS EUA</t>
        </is>
      </c>
      <c r="I1244" t="inlineStr">
        <is>
          <t>SEGUNDO O PRESIDENTE, A FORÇA ARMADA VENEZUELANA "NÃO VAI SE AJOELHAR NUNCA MAIS AOS GRINGOS, NEM SE COLOCAR NUNCA MAIS A SERVIÇO DA OLIGARQUIA DESTE PAÍS".</t>
        </is>
      </c>
      <c r="J1244">
        <f>HYPERLINK("https://g1.globo.com/mundo/noticia/2019/11/17/maduro-diz-que-prendeu-militares-por-apoiar-suposto-complo-dos-eua.ghtml", "URL")</f>
        <v/>
      </c>
      <c r="K1244">
        <f>HYPERLINK("https://raw.githubusercontent.com/marcosmapl/dataset_imigrantes/main/noticias_filtered/g1/venezuelanos/2019/10_nov/html/g1_8e887c70-2321-11ed-b24f-6dbe51e79fca_3708.html", "HTML")</f>
        <v/>
      </c>
      <c r="L1244">
        <f>HYPERLINK("https://raw.githubusercontent.com/marcosmapl/dataset_imigrantes/main/noticias_filtered/g1/venezuelanos/2019/10_nov/txt/g1_8e887c70-2321-11ed-b24f-6dbe51e79fca_3708.txt", "TXT")</f>
        <v/>
      </c>
    </row>
    <row r="1245">
      <c r="A1245" s="1" t="n">
        <v>1243</v>
      </c>
      <c r="B1245" t="n">
        <v>2019</v>
      </c>
      <c r="C1245" s="2" t="n">
        <v>43786.375</v>
      </c>
      <c r="D1245" t="inlineStr">
        <is>
          <t>A CRITICA</t>
        </is>
      </c>
      <c r="E1245" t="inlineStr">
        <is>
          <t>AMBOS</t>
        </is>
      </c>
      <c r="F1245" t="inlineStr">
        <is>
          <t>MANAUS</t>
        </is>
      </c>
      <c r="G1245" t="inlineStr">
        <is>
          <t>JOANA QUEIROZ</t>
        </is>
      </c>
      <c r="H1245" t="inlineStr">
        <is>
          <t>MORADORES DO MONTE HOREBE VIVEM SOB TOTALITARISMO DO TRÁFICO DE DROGAS</t>
        </is>
      </c>
      <c r="I1245" t="inlineStr">
        <is>
          <t>SOB COMANDO E REGRAS IMPOSTAS POR FACÇÃO CRIMINOSA, NÚMERO DE PESSOAS QUE ESTÃO VIVENDO SOB DOMÍNIO DO CRIME ORGANIZADO NO LOCAL JÁ CHEGA A 12 MIL, SEGUNDO SSP</t>
        </is>
      </c>
      <c r="J1245">
        <f>HYPERLINK("https://www.acritica.com/manaus/moradores-do-monte-horebe-vivem-sob-totalitarismo-do-trafico-de-drogas-1.54485", "URL")</f>
        <v/>
      </c>
      <c r="K1245">
        <f>HYPERLINK("https://raw.githubusercontent.com/marcosmapl/dataset_imigrantes/main/noticias_filtered/a_critica/ambos/2019/10_nov/html/1.54485_1337.html", "HTML")</f>
        <v/>
      </c>
      <c r="L1245">
        <f>HYPERLINK("https://raw.githubusercontent.com/marcosmapl/dataset_imigrantes/main/noticias_filtered/a_critica/ambos/2019/10_nov/txt/1.54485_1337.txt", "TXT")</f>
        <v/>
      </c>
    </row>
    <row r="1246">
      <c r="A1246" s="1" t="n">
        <v>1244</v>
      </c>
      <c r="B1246" t="n">
        <v>2019</v>
      </c>
      <c r="C1246" s="2" t="n">
        <v>43785.70268582176</v>
      </c>
      <c r="D1246" t="inlineStr">
        <is>
          <t>G1</t>
        </is>
      </c>
      <c r="E1246" t="inlineStr">
        <is>
          <t>VENEZUELANOS</t>
        </is>
      </c>
      <c r="F1246" t="inlineStr">
        <is>
          <t>MUNDO</t>
        </is>
      </c>
      <c r="G1246" t="inlineStr">
        <is>
          <t>FRANCE PRESSE</t>
        </is>
      </c>
      <c r="H1246" t="inlineStr">
        <is>
          <t>OPOSITORES VENEZUELANOS CONVOCADOS POR JUAN GUAIDÓ FAZEM PROTESTO CONTRA MADURO</t>
        </is>
      </c>
      <c r="I1246" t="inlineStr">
        <is>
          <t>PROTESTOS FORAM CONVOCADOS PELO LÍDER PARLAMENTAR PARA PEDIR MAIS UMA VEZ A SAÍDA DO PODER DO PRESIDENTE VENEZUELANO, NICOLÁS MADURO.</t>
        </is>
      </c>
      <c r="J1246">
        <f>HYPERLINK("https://g1.globo.com/mundo/noticia/2019/11/16/opositores-venezuelanos-fazem-protesto-contra-maduro.ghtml", "URL")</f>
        <v/>
      </c>
      <c r="K1246">
        <f>HYPERLINK("https://raw.githubusercontent.com/marcosmapl/dataset_imigrantes/main/noticias_filtered/g1/venezuelanos/2019/10_nov/html/g1_c8263b28-230a-11ed-b24f-6dbe51e79fca_2527.html", "HTML")</f>
        <v/>
      </c>
      <c r="L1246">
        <f>HYPERLINK("https://raw.githubusercontent.com/marcosmapl/dataset_imigrantes/main/noticias_filtered/g1/venezuelanos/2019/10_nov/txt/g1_c8263b28-230a-11ed-b24f-6dbe51e79fca_2527.txt", "TXT")</f>
        <v/>
      </c>
    </row>
    <row r="1247">
      <c r="A1247" s="1" t="n">
        <v>1245</v>
      </c>
      <c r="B1247" t="n">
        <v>2019</v>
      </c>
      <c r="C1247" s="2" t="n">
        <v>43783.47056712963</v>
      </c>
      <c r="D1247" t="inlineStr">
        <is>
          <t>A CRITICA</t>
        </is>
      </c>
      <c r="E1247" t="inlineStr">
        <is>
          <t>VENEZUELANOS</t>
        </is>
      </c>
      <c r="F1247" t="inlineStr">
        <is>
          <t>MANAUS</t>
        </is>
      </c>
      <c r="G1247" t="inlineStr">
        <is>
          <t>PORTAL A CRÍTICA</t>
        </is>
      </c>
      <c r="H1247" t="inlineStr">
        <is>
          <t>ATENDIMENTO A VENEZUELANOS GANHA NOVO POSTO DE TRIAGEM EM MANAUS</t>
        </is>
      </c>
      <c r="I1247" t="inlineStr">
        <is>
          <t>ALÉM DE FACILITAR O ACESSO A DIVERSOS SERVIÇOS PÚBLICOS, O POSTO TEM A FINALIDADE DE PRESTAR ATENDIMENTO AOS DIFERENTES GRUPOS DE PESSOAS QUE CHEGAM, COM VARIADOS GRAUS DE VULNERABILIDADE E NECESSIDADES</t>
        </is>
      </c>
      <c r="J1247">
        <f>HYPERLINK("https://www.acritica.com/manaus/atendimento-a-venezuelanos-ganha-novo-posto-de-triagem-em-manaus-1.54359", "URL")</f>
        <v/>
      </c>
      <c r="K1247">
        <f>HYPERLINK("https://raw.githubusercontent.com/marcosmapl/dataset_imigrantes/main/noticias_filtered/a_critica/venezuelanos/2019/10_nov/html/1.54359_42.html", "HTML")</f>
        <v/>
      </c>
      <c r="L1247">
        <f>HYPERLINK("https://raw.githubusercontent.com/marcosmapl/dataset_imigrantes/main/noticias_filtered/a_critica/venezuelanos/2019/10_nov/txt/1.54359_42.txt", "TXT")</f>
        <v/>
      </c>
    </row>
    <row r="1248">
      <c r="A1248" s="1" t="n">
        <v>1246</v>
      </c>
      <c r="B1248" t="n">
        <v>2019</v>
      </c>
      <c r="C1248" s="2" t="n">
        <v>43783.46659722222</v>
      </c>
      <c r="D1248" t="inlineStr">
        <is>
          <t>A CRITICA</t>
        </is>
      </c>
      <c r="E1248" t="inlineStr">
        <is>
          <t>VENEZUELANOS</t>
        </is>
      </c>
      <c r="F1248" t="inlineStr"/>
      <c r="G1248" t="inlineStr">
        <is>
          <t>PORTAL A CRÍTICA</t>
        </is>
      </c>
      <c r="H1248" t="inlineStr">
        <is>
          <t>GOVERNO DO AM DEFENDE CRIAÇÃO DE BANCO DE DADOS CONTRA O NARCOTRÁFICO</t>
        </is>
      </c>
      <c r="I1248" t="inlineStr">
        <is>
          <t>SECRETARIO DE SEGURANÇA PÚBLICA DO AM, LOUISMAR BONATES, QUER INTEGRAR REDE DE INFORMAÇÕES SOBRE TRÁFICO DE DROGAS COM PAÍSES DA AMÉRICA DO SUL</t>
        </is>
      </c>
      <c r="J1248">
        <f>HYPERLINK("https://www.acritica.com/governo-do-am-defende-criac-o-de-banco-de-dados-contra-o-narcotrafico-1.54105", "URL")</f>
        <v/>
      </c>
      <c r="K1248">
        <f>HYPERLINK("https://raw.githubusercontent.com/marcosmapl/dataset_imigrantes/main/noticias_filtered/a_critica/venezuelanos/2019/10_nov/html/1.54105_680.html", "HTML")</f>
        <v/>
      </c>
      <c r="L1248">
        <f>HYPERLINK("https://raw.githubusercontent.com/marcosmapl/dataset_imigrantes/main/noticias_filtered/a_critica/venezuelanos/2019/10_nov/txt/1.54105_680.txt", "TXT")</f>
        <v/>
      </c>
    </row>
    <row r="1249">
      <c r="A1249" s="1" t="n">
        <v>1247</v>
      </c>
      <c r="B1249" t="n">
        <v>2019</v>
      </c>
      <c r="C1249" s="2" t="n">
        <v>43782.57727401621</v>
      </c>
      <c r="D1249" t="inlineStr">
        <is>
          <t>G1</t>
        </is>
      </c>
      <c r="E1249" t="inlineStr">
        <is>
          <t>VENEZUELANOS</t>
        </is>
      </c>
      <c r="F1249" t="inlineStr">
        <is>
          <t>AMAZONAS</t>
        </is>
      </c>
      <c r="G1249" t="inlineStr">
        <is>
          <t>G1 AM*</t>
        </is>
      </c>
      <c r="H1249" t="inlineStr">
        <is>
          <t>MUTIRÃO DE SERVIÇOS LEVA CENTENAS DE IMIGRANTES VENEZUELANOS A POSTO DE TRIAGEM EM MANAUS</t>
        </is>
      </c>
      <c r="I1249" t="inlineStr">
        <is>
          <t>ENTRE SERVIÇOS MAIS PROCURADOS ESTAVA O DE SOLICITAÇÃO DE RESIDÊNCIA NA CAPITAL.</t>
        </is>
      </c>
      <c r="J1249">
        <f>HYPERLINK("https://g1.globo.com/am/amazonas/noticia/2019/11/13/mutirao-de-servicos-leva-centenas-de-imigrantes-venezuelanos-a-posto-de-triagem-em-manaus.ghtml", "URL")</f>
        <v/>
      </c>
      <c r="K1249">
        <f>HYPERLINK("https://raw.githubusercontent.com/marcosmapl/dataset_imigrantes/main/noticias_filtered/g1/venezuelanos/2019/10_nov/html/g1_9cf4f90e-232c-11ed-b24f-6dbe51e79fca_4317.html", "HTML")</f>
        <v/>
      </c>
      <c r="L1249">
        <f>HYPERLINK("https://raw.githubusercontent.com/marcosmapl/dataset_imigrantes/main/noticias_filtered/g1/venezuelanos/2019/10_nov/txt/g1_9cf4f90e-232c-11ed-b24f-6dbe51e79fca_4317.txt", "TXT")</f>
        <v/>
      </c>
    </row>
    <row r="1250">
      <c r="A1250" s="1" t="n">
        <v>1248</v>
      </c>
      <c r="B1250" t="n">
        <v>2019</v>
      </c>
      <c r="C1250" s="2" t="n">
        <v>43782.53194444445</v>
      </c>
      <c r="D1250" t="inlineStr">
        <is>
          <t>A CRITICA</t>
        </is>
      </c>
      <c r="E1250" t="inlineStr">
        <is>
          <t>VENEZUELANOS</t>
        </is>
      </c>
      <c r="F1250" t="inlineStr"/>
      <c r="G1250" t="inlineStr">
        <is>
          <t>AFP</t>
        </is>
      </c>
      <c r="H1250" t="inlineStr">
        <is>
          <t>EMBAIXADA DA VENEZUELA EM BRASÍLIA É INVADIDA POR APOIADORES DE GUAIDÓ</t>
        </is>
      </c>
      <c r="I1250" t="inlineStr">
        <is>
          <t>INCIDENTE OCORRE NO MOMENTO EM QUE A CAPITAL É SEDE DA CÚPULA DO BRICS (BRASIL, RÚSSIA, ÍNDIA, CHINA E ÁFRICA DO SUL), PROFUNDAMENTE DIVIDIDO EM TORNO DA QUESTÃO VENEZUELANA: RÚSSIA E CHINA SÃO OS PRINCIPAIS ALIADOS DE MADURO, ENQUANTO O BRASIL APOIA GUAIDÓ</t>
        </is>
      </c>
      <c r="J1250">
        <f>HYPERLINK("https://www.acritica.com/embaixada-da-venezuela-em-brasilia-e-invadida-por-apoiadores-de-guaido-1.54176", "URL")</f>
        <v/>
      </c>
      <c r="K1250">
        <f>HYPERLINK("https://raw.githubusercontent.com/marcosmapl/dataset_imigrantes/main/noticias_filtered/a_critica/venezuelanos/2019/10_nov/html/1.54176_684.html", "HTML")</f>
        <v/>
      </c>
      <c r="L1250">
        <f>HYPERLINK("https://raw.githubusercontent.com/marcosmapl/dataset_imigrantes/main/noticias_filtered/a_critica/venezuelanos/2019/10_nov/txt/1.54176_684.txt", "TXT")</f>
        <v/>
      </c>
    </row>
    <row r="1251">
      <c r="A1251" s="1" t="n">
        <v>1249</v>
      </c>
      <c r="B1251" t="n">
        <v>2019</v>
      </c>
      <c r="C1251" s="2" t="n">
        <v>43782.51182016204</v>
      </c>
      <c r="D1251" t="inlineStr">
        <is>
          <t>G1</t>
        </is>
      </c>
      <c r="E1251" t="inlineStr">
        <is>
          <t>VENEZUELANOS</t>
        </is>
      </c>
      <c r="F1251" t="inlineStr">
        <is>
          <t>DISTRITO FEDERAL</t>
        </is>
      </c>
      <c r="G1251" t="inlineStr">
        <is>
          <t>LUIZA GARONCE E MARÍLIA MARQUES, G1 DF</t>
        </is>
      </c>
      <c r="H1251" t="inlineStr">
        <is>
          <t>SEGUIDORES DE GUAIDÓ ENTRAM NA EMBAIXADA DA VENEZUELA NO DF; APOIADORES DE MADURO PROTESTAM</t>
        </is>
      </c>
      <c r="I1251" t="inlineStr">
        <is>
          <t>POLÍCIA MILITAR FOI CHAMADA PARA PRESTAR REFORÇO NA SEGURANÇA. EMBAIXADORA DESIGNADA POR GUAIDÓ DISSE QUE FUNCIONÁRIOS ABRIRAM AS PORTAS DA EMBAIXADA VOLUNTARIAMENTE. MAS MANIFESTANTES PRÓ-MADURO FALAM EM INVASÃO.</t>
        </is>
      </c>
      <c r="J1251">
        <f>HYPERLINK("https://g1.globo.com/df/distrito-federal/noticia/2019/11/13/manifestantes-pro-maduro-fazem-ato-na-embaixada-da-venezuela-em-brasilia-contra-juan-guaido.ghtml", "URL")</f>
        <v/>
      </c>
      <c r="K1251">
        <f>HYPERLINK("https://raw.githubusercontent.com/marcosmapl/dataset_imigrantes/main/noticias_filtered/g1/venezuelanos/2019/10_nov/html/g1_b8a9b29a-2316-11ed-b24f-6dbe51e79fca_3165.html", "HTML")</f>
        <v/>
      </c>
      <c r="L1251">
        <f>HYPERLINK("https://raw.githubusercontent.com/marcosmapl/dataset_imigrantes/main/noticias_filtered/g1/venezuelanos/2019/10_nov/txt/g1_b8a9b29a-2316-11ed-b24f-6dbe51e79fca_3165.txt", "TXT")</f>
        <v/>
      </c>
    </row>
    <row r="1252">
      <c r="A1252" s="1" t="n">
        <v>1250</v>
      </c>
      <c r="B1252" t="n">
        <v>2019</v>
      </c>
      <c r="C1252" s="2" t="n">
        <v>43781.67258671296</v>
      </c>
      <c r="D1252" t="inlineStr">
        <is>
          <t>G1</t>
        </is>
      </c>
      <c r="E1252" t="inlineStr">
        <is>
          <t>AMBOS</t>
        </is>
      </c>
      <c r="F1252" t="inlineStr">
        <is>
          <t>RORAIMA</t>
        </is>
      </c>
      <c r="G1252" t="inlineStr">
        <is>
          <t>FABRÍCIO ARAÚJO, G1 RR — BOA VISTA</t>
        </is>
      </c>
      <c r="H1252" t="inlineStr">
        <is>
          <t>RR TEM MAIOR TAXA DE CONTRATAÇÃO FORMAL DE IMIGRANTES NO PAÍS, APONTA MINISTÉRIO DA JUSTIÇA</t>
        </is>
      </c>
      <c r="I1252" t="inlineStr">
        <is>
          <t>DOCUMENTO DIVULGADO PELO MINISTÉRIO DA JUSTIÇA E SEGURANÇA PÚBLICA FAZ BALANÇO SOBRE MOVIMENTOS MIGRATÓRIOS ENTRE MAIO E AGOSTO DE 2019.</t>
        </is>
      </c>
      <c r="J1252">
        <f>HYPERLINK("https://g1.globo.com/rr/roraima/noticia/2019/11/12/rr-tem-maior-taxa-de-contratacao-formal-de-imigrantes-no-pais-aponta-ministerio-da-justica.ghtml", "URL")</f>
        <v/>
      </c>
      <c r="K1252">
        <f>HYPERLINK("https://raw.githubusercontent.com/marcosmapl/dataset_imigrantes/main/noticias_filtered/g1/ambos/2019/10_nov/html/g1_ec2745ae-230e-11ed-b24f-6dbe51e79fca_2766.html", "HTML")</f>
        <v/>
      </c>
      <c r="L1252">
        <f>HYPERLINK("https://raw.githubusercontent.com/marcosmapl/dataset_imigrantes/main/noticias_filtered/g1/ambos/2019/10_nov/txt/g1_ec2745ae-230e-11ed-b24f-6dbe51e79fca_2766.txt", "TXT")</f>
        <v/>
      </c>
    </row>
    <row r="1253">
      <c r="A1253" s="1" t="n">
        <v>1251</v>
      </c>
      <c r="B1253" t="n">
        <v>2019</v>
      </c>
      <c r="C1253" s="2" t="n">
        <v>43780.6866690625</v>
      </c>
      <c r="D1253" t="inlineStr">
        <is>
          <t>G1</t>
        </is>
      </c>
      <c r="E1253" t="inlineStr">
        <is>
          <t>AMBOS</t>
        </is>
      </c>
      <c r="F1253" t="inlineStr">
        <is>
          <t>SÃO PAULO</t>
        </is>
      </c>
      <c r="G1253" t="inlineStr">
        <is>
          <t>GIBA BERGAMIM, SP1</t>
        </is>
      </c>
      <c r="H1253" t="inlineStr">
        <is>
          <t>SÃO PAULO É SEGUNDO ESTADO BRASILEIRO COM MAIOR NÚMERO DE PEDIDOS DE REFÚGIO POR IMIGRANTES</t>
        </is>
      </c>
      <c r="I1253" t="inlineStr">
        <is>
          <t>DADOS DO MINISTÉRIO DA JUSTIÇA DIVULGADOS NESTA SEGUNDA-FEIRA (11) APONTAM QUE O NÚMERO DE PEDIDOS FEITOS POR VENEZUELANOS, HAITIANOS, ANGOLANOS E BOLIVIANOS É QUASE 10% DO TOTAL.</t>
        </is>
      </c>
      <c r="J1253">
        <f>HYPERLINK("https://g1.globo.com/sp/sao-paulo/noticia/2019/11/11/sao-paulo-e-segundo-estado-brasileiro-com-maior-numero-de-pedidos-de-refugio-por-imigrantes.ghtml", "URL")</f>
        <v/>
      </c>
      <c r="K1253">
        <f>HYPERLINK("https://raw.githubusercontent.com/marcosmapl/dataset_imigrantes/main/noticias_filtered/g1/ambos/2019/10_nov/html/g1_52b0445a-2310-11ed-b24f-6dbe51e79fca_2854.html", "HTML")</f>
        <v/>
      </c>
      <c r="L1253">
        <f>HYPERLINK("https://raw.githubusercontent.com/marcosmapl/dataset_imigrantes/main/noticias_filtered/g1/ambos/2019/10_nov/txt/g1_52b0445a-2310-11ed-b24f-6dbe51e79fca_2854.txt", "TXT")</f>
        <v/>
      </c>
    </row>
    <row r="1254">
      <c r="A1254" s="1" t="n">
        <v>1252</v>
      </c>
      <c r="B1254" t="n">
        <v>2019</v>
      </c>
      <c r="C1254" s="2" t="n">
        <v>43780.52613628472</v>
      </c>
      <c r="D1254" t="inlineStr">
        <is>
          <t>G1</t>
        </is>
      </c>
      <c r="E1254" t="inlineStr">
        <is>
          <t>VENEZUELANOS</t>
        </is>
      </c>
      <c r="F1254" t="inlineStr">
        <is>
          <t>MUNDO</t>
        </is>
      </c>
      <c r="G1254" t="inlineStr">
        <is>
          <t>G1</t>
        </is>
      </c>
      <c r="H1254" t="inlineStr">
        <is>
          <t>EMBAIXADORA DA VENEZUELA NA BOLÍVIA DIZ QUE EMBAIXADA FOI ATACADA</t>
        </is>
      </c>
      <c r="I1254" t="inlineStr">
        <is>
          <t>CRISBEYLEE GONZÁLEZ AFIRMOU QUE O PRÉDIO FOI ATINGIDO POR DINAMITES NA NOITE DE DOMINGO (10). NINGUÉM FICOU FERIDO.</t>
        </is>
      </c>
      <c r="J1254">
        <f>HYPERLINK("https://g1.globo.com/mundo/noticia/2019/11/11/embaixadora-da-venezuela-na-bolivia-diz-que-embaixada-foi-atacada.ghtml", "URL")</f>
        <v/>
      </c>
      <c r="K1254">
        <f>HYPERLINK("https://raw.githubusercontent.com/marcosmapl/dataset_imigrantes/main/noticias_filtered/g1/venezuelanos/2019/10_nov/html/g1_d124751a-232c-11ed-b24f-6dbe51e79fca_4327.html", "HTML")</f>
        <v/>
      </c>
      <c r="L1254">
        <f>HYPERLINK("https://raw.githubusercontent.com/marcosmapl/dataset_imigrantes/main/noticias_filtered/g1/venezuelanos/2019/10_nov/txt/g1_d124751a-232c-11ed-b24f-6dbe51e79fca_4327.txt", "TXT")</f>
        <v/>
      </c>
    </row>
    <row r="1255">
      <c r="A1255" s="1" t="n">
        <v>1253</v>
      </c>
      <c r="B1255" t="n">
        <v>2019</v>
      </c>
      <c r="C1255" s="2" t="n">
        <v>43779.65577560185</v>
      </c>
      <c r="D1255" t="inlineStr">
        <is>
          <t>G1</t>
        </is>
      </c>
      <c r="E1255" t="inlineStr">
        <is>
          <t>HAITIANOS</t>
        </is>
      </c>
      <c r="F1255" t="inlineStr">
        <is>
          <t>MATO GROSSO</t>
        </is>
      </c>
      <c r="G1255" t="inlineStr">
        <is>
          <t>G1 MT</t>
        </is>
      </c>
      <c r="H1255" t="inlineStr">
        <is>
          <t>HAITIANO QUE MORA EM MT HÁ 5 ANOS VAI DE MULETAS FAZER PROVA APÓS FRATURAR PÉ EM ACIDENTE</t>
        </is>
      </c>
      <c r="I1255" t="inlineStr">
        <is>
          <t>CARNES ILOZIER COMEÇOU A FAZER MATEMÁTICA NUMA UNIVERSIDADE PARTICULAR, MAS QUER CURSAR FÍSICA NA UFMT.</t>
        </is>
      </c>
      <c r="J1255">
        <f>HYPERLINK("https://g1.globo.com/mt/mato-grosso/noticia/2019/11/10/haitiano-que-mora-em-mt-ha-5-anos-vai-de-muletas-fazer-prova-apos-fraturar-pe-em-acidente.ghtml", "URL")</f>
        <v/>
      </c>
      <c r="K1255">
        <f>HYPERLINK("https://raw.githubusercontent.com/marcosmapl/dataset_imigrantes/main/noticias_filtered/g1/haitianos/2019/10_nov/html/g1_fa895a98-22f4-11ed-b24f-6dbe51e79fca_1924.html", "HTML")</f>
        <v/>
      </c>
      <c r="L1255">
        <f>HYPERLINK("https://raw.githubusercontent.com/marcosmapl/dataset_imigrantes/main/noticias_filtered/g1/haitianos/2019/10_nov/txt/g1_fa895a98-22f4-11ed-b24f-6dbe51e79fca_1924.txt", "TXT")</f>
        <v/>
      </c>
    </row>
    <row r="1256">
      <c r="A1256" s="1" t="n">
        <v>1254</v>
      </c>
      <c r="B1256" t="n">
        <v>2019</v>
      </c>
      <c r="C1256" s="2" t="n">
        <v>43777.98026567129</v>
      </c>
      <c r="D1256" t="inlineStr">
        <is>
          <t>G1</t>
        </is>
      </c>
      <c r="E1256" t="inlineStr">
        <is>
          <t>VENEZUELANOS</t>
        </is>
      </c>
      <c r="F1256" t="inlineStr">
        <is>
          <t>RORAIMA</t>
        </is>
      </c>
      <c r="G1256" t="inlineStr">
        <is>
          <t>G1 RR — BOA VISTA</t>
        </is>
      </c>
      <c r="H1256" t="inlineStr">
        <is>
          <t>JÚRI CONDENA A 53 ANOS DE PRISÃO ACUSADO DE ATEAR FOGO EM VENEZUELANOS EM RR</t>
        </is>
      </c>
      <c r="I1256" t="inlineStr">
        <is>
          <t>O GUIANENSE GORDON FOWLER FOI CONDENADO POR TENTATIVA DE HOMICÍDIO CONTRA SEIS VENEZUELANOS EM 2018.</t>
        </is>
      </c>
      <c r="J1256">
        <f>HYPERLINK("https://g1.globo.com/rr/roraima/noticia/2019/11/08/juri-condena-a-53-anos-de-prisao-acusado-de-atear-fogo-em-venezuelanos-em-rr.ghtml", "URL")</f>
        <v/>
      </c>
      <c r="K1256">
        <f>HYPERLINK("https://raw.githubusercontent.com/marcosmapl/dataset_imigrantes/main/noticias_filtered/g1/venezuelanos/2019/10_nov/html/g1_7611d6f8-230f-11ed-b24f-6dbe51e79fca_2796.html", "HTML")</f>
        <v/>
      </c>
      <c r="L1256">
        <f>HYPERLINK("https://raw.githubusercontent.com/marcosmapl/dataset_imigrantes/main/noticias_filtered/g1/venezuelanos/2019/10_nov/txt/g1_7611d6f8-230f-11ed-b24f-6dbe51e79fca_2796.txt", "TXT")</f>
        <v/>
      </c>
    </row>
    <row r="1257">
      <c r="A1257" s="1" t="n">
        <v>1255</v>
      </c>
      <c r="B1257" t="n">
        <v>2019</v>
      </c>
      <c r="C1257" s="2" t="n">
        <v>43777.5375</v>
      </c>
      <c r="D1257" t="inlineStr">
        <is>
          <t>PORTAL AMAZONIA</t>
        </is>
      </c>
      <c r="E1257" t="inlineStr">
        <is>
          <t>VENEZUELANOS</t>
        </is>
      </c>
      <c r="F1257" t="inlineStr">
        <is>
          <t>CIDADES</t>
        </is>
      </c>
      <c r="G1257" t="inlineStr">
        <is>
          <t>REDAÇÃO</t>
        </is>
      </c>
      <c r="H1257" t="inlineStr">
        <is>
          <t>OPERAÇÃO ACOLHIDA EM MANAUS INAUGURA ESPAÇO PARA ATENDER REFUGIADOS E MIGRANTES VENEZUELANOS</t>
        </is>
      </c>
      <c r="I1257" t="inlineStr">
        <is>
          <t>VENEZUELANOS QUE CHEGAM EM MANAUS CONTAM COM O NOVO POSTO DE INTERIORIZAÇÃO E TRIAGEM DA OPERAÇÃO ACOLHIDA. NO LOCAL, PODEM OBTER INFORMAÇÕES SOBRE COMO SOLICITAR REFÚGIO OU RESIDÊNCIA TEMPORÁRIA NO BRASIL, EMITIR DOCUMENTOS, SER VACINADOS E SE VOLUN</t>
        </is>
      </c>
      <c r="J1257">
        <f>HYPERLINK("https://portalamazonia.com/noticias/cidades/operacao-acolhida-em-manaus-inaugura-espaco-para-atender-refugiados-e-migrantes-venezuelanos", "URL")</f>
        <v/>
      </c>
      <c r="K1257">
        <f>HYPERLINK("https://raw.githubusercontent.com/marcosmapl/dataset_imigrantes/main/noticias_filtered/portal_amazonia/venezuelanos/2019/10_nov/html/21672.21672_1612.html", "HTML")</f>
        <v/>
      </c>
      <c r="L1257">
        <f>HYPERLINK("https://raw.githubusercontent.com/marcosmapl/dataset_imigrantes/main/noticias_filtered/portal_amazonia/venezuelanos/2019/10_nov/txt/21672.21672_1612.txt", "TXT")</f>
        <v/>
      </c>
    </row>
    <row r="1258">
      <c r="A1258" s="1" t="n">
        <v>1256</v>
      </c>
      <c r="B1258" t="n">
        <v>2019</v>
      </c>
      <c r="C1258" s="2" t="n">
        <v>43777.01319444444</v>
      </c>
      <c r="D1258" t="inlineStr">
        <is>
          <t>A CRITICA</t>
        </is>
      </c>
      <c r="E1258" t="inlineStr">
        <is>
          <t>VENEZUELANOS</t>
        </is>
      </c>
      <c r="F1258" t="inlineStr"/>
      <c r="G1258" t="inlineStr">
        <is>
          <t>PORTAL A CRÍTICA</t>
        </is>
      </c>
      <c r="H1258" t="inlineStr">
        <is>
          <t>'A BORDO - O REALITY': PROVA DA RAINHA 'COROA' DÉBORA APÓS QUASE 16H DE RESISTÊNCIA</t>
        </is>
      </c>
      <c r="I1258" t="inlineStr">
        <is>
          <t>PROVA TEVE DURAÇÃO TOTAL DE 15H34 E FINALISTAS TIVERAM QUE DECIDIR ENTRE SI QUEM LEVAVA A COROA DA SEMANA. CANDIDATAS PRECISARAM FICAR ACORRENTADAS PELOS BRAÇOS E PERNAS EM UMA ESTRUTURA DE FERRO</t>
        </is>
      </c>
      <c r="J1258">
        <f>HYPERLINK("https://www.acritica.com/a-bordo-o-reality-prova-da-rainha-coroa-debora-apos-quase-16h-de-resistencia-1.55549", "URL")</f>
        <v/>
      </c>
      <c r="K1258">
        <f>HYPERLINK("https://raw.githubusercontent.com/marcosmapl/dataset_imigrantes/main/noticias_filtered/a_critica/venezuelanos/2019/10_nov/html/1.55549_1143.html", "HTML")</f>
        <v/>
      </c>
      <c r="L1258">
        <f>HYPERLINK("https://raw.githubusercontent.com/marcosmapl/dataset_imigrantes/main/noticias_filtered/a_critica/venezuelanos/2019/10_nov/txt/1.55549_1143.txt", "TXT")</f>
        <v/>
      </c>
    </row>
    <row r="1259">
      <c r="A1259" s="1" t="n">
        <v>1257</v>
      </c>
      <c r="B1259" t="n">
        <v>2019</v>
      </c>
      <c r="C1259" s="2" t="n">
        <v>43775.83743055556</v>
      </c>
      <c r="D1259" t="inlineStr">
        <is>
          <t>A CRITICA</t>
        </is>
      </c>
      <c r="E1259" t="inlineStr">
        <is>
          <t>VENEZUELANOS</t>
        </is>
      </c>
      <c r="F1259" t="inlineStr"/>
      <c r="G1259" t="inlineStr">
        <is>
          <t>PORTAL A CRÍTICA</t>
        </is>
      </c>
      <c r="H1259" t="inlineStr">
        <is>
          <t>FRANÇA ANUNCIA APORTE DE R$ 1 MILHÃO A REFUGIADOS VENEZUELANOS EM MANAUS</t>
        </is>
      </c>
      <c r="I1259" t="inlineStr">
        <is>
          <t>DOAÇÃO PROPORCIONARÁ AUXÍLIO EMERGENCIAL A FAMÍLIAS EM SITUAÇÃO VULNERÁVEL, COM AUXÍLIO FINANCEIRO MENSAL PARA CUSTEIO DE ALUGUEL, ENERGIA, ÁGUA E ALIMENTAÇÃO POR UM PERÍODO DE TRÊS MESES</t>
        </is>
      </c>
      <c r="J1259">
        <f>HYPERLINK("https://www.acritica.com/franca-anuncia-aporte-de-r-1-milh-o-a-refugiados-venezuelanos-em-manaus-1.55609", "URL")</f>
        <v/>
      </c>
      <c r="K1259">
        <f>HYPERLINK("https://raw.githubusercontent.com/marcosmapl/dataset_imigrantes/main/noticias_filtered/a_critica/venezuelanos/2019/10_nov/html/1.55609_539.html", "HTML")</f>
        <v/>
      </c>
      <c r="L1259">
        <f>HYPERLINK("https://raw.githubusercontent.com/marcosmapl/dataset_imigrantes/main/noticias_filtered/a_critica/venezuelanos/2019/10_nov/txt/1.55609_539.txt", "TXT")</f>
        <v/>
      </c>
    </row>
    <row r="1260">
      <c r="A1260" s="1" t="n">
        <v>1258</v>
      </c>
      <c r="B1260" t="n">
        <v>2019</v>
      </c>
      <c r="C1260" s="2" t="n">
        <v>43775.37573120371</v>
      </c>
      <c r="D1260" t="inlineStr">
        <is>
          <t>G1</t>
        </is>
      </c>
      <c r="E1260" t="inlineStr">
        <is>
          <t>HAITIANOS</t>
        </is>
      </c>
      <c r="F1260" t="inlineStr">
        <is>
          <t>PARANÁ</t>
        </is>
      </c>
      <c r="G1260" t="inlineStr">
        <is>
          <t>G1 PR — CURITIBA</t>
        </is>
      </c>
      <c r="H1260" t="inlineStr">
        <is>
          <t>RPC: VEJA AS INFORMAÇÕES ADICIONAIS DAS REPORTAGENS DO DIA 6/11/2019</t>
        </is>
      </c>
      <c r="I1260" t="inlineStr">
        <is>
          <t>O G1 LISTA OS PRINCIPAIS DESTAQUES DOS TELEJORNAIS DA RPC DESTA QUARTA-FEIRA (6). SAIBA OS ENDEREÇOS, TELEFONES E OS SITES DAS REPORTAGENS EXIBIDAS.</t>
        </is>
      </c>
      <c r="J1260">
        <f>HYPERLINK("https://g1.globo.com/pr/parana/informacoes-adicionais-dos-telejornais/noticia/2019/11/06/rpc-veja-as-informacoes-adicionais-das-reportagens-do-dia-6112019.ghtml", "URL")</f>
        <v/>
      </c>
      <c r="K1260">
        <f>HYPERLINK("https://raw.githubusercontent.com/marcosmapl/dataset_imigrantes/main/noticias_filtered/g1/haitianos/2019/10_nov/html/g1_5df4fc3e-2324-11ed-b24f-6dbe51e79fca_3867.html", "HTML")</f>
        <v/>
      </c>
      <c r="L1260">
        <f>HYPERLINK("https://raw.githubusercontent.com/marcosmapl/dataset_imigrantes/main/noticias_filtered/g1/haitianos/2019/10_nov/txt/g1_5df4fc3e-2324-11ed-b24f-6dbe51e79fca_3867.txt", "TXT")</f>
        <v/>
      </c>
    </row>
    <row r="1261">
      <c r="A1261" s="1" t="n">
        <v>1259</v>
      </c>
      <c r="B1261" t="n">
        <v>2019</v>
      </c>
      <c r="C1261" s="2" t="n">
        <v>43774.77523900463</v>
      </c>
      <c r="D1261" t="inlineStr">
        <is>
          <t>G1</t>
        </is>
      </c>
      <c r="E1261" t="inlineStr">
        <is>
          <t>VENEZUELANOS</t>
        </is>
      </c>
      <c r="F1261" t="inlineStr">
        <is>
          <t>ACRE</t>
        </is>
      </c>
      <c r="G1261" t="inlineStr">
        <is>
          <t>IRYÁ RODRIGUES, G1 AC — RIO BRANCO</t>
        </is>
      </c>
      <c r="H1261" t="inlineStr">
        <is>
          <t>GRÁVIDA DE 8 MESES, VENEZUELANA DORME UMA SEMANA EM RODOVIÁRIA NO AC PARA JUNTAR DINHEIRO E IR PARA O PERU</t>
        </is>
      </c>
      <c r="I1261" t="inlineStr">
        <is>
          <t>SOZINHA, A JOVEM DE 20 ANOS CONTA QUE SE SEPAROU DO COMPANHEIRO COM QUEM SAIU DA VENEZUELA HÁ DOIS ANOS. ELA CONSEGUIU COMPRAR A PASSAGEM E SEGUE PARA LIMA.</t>
        </is>
      </c>
      <c r="J1261">
        <f>HYPERLINK("https://g1.globo.com/ac/acre/noticia/2019/11/05/gravida-de-8-meses-venezuelana-dorme-uma-semana-em-rodoviaria-no-ac-para-juntar-dinheiro-e-ir-para-o-peru.ghtml", "URL")</f>
        <v/>
      </c>
      <c r="K1261">
        <f>HYPERLINK("https://raw.githubusercontent.com/marcosmapl/dataset_imigrantes/main/noticias_filtered/g1/venezuelanos/2019/10_nov/html/g1_c17fe642-2324-11ed-b24f-6dbe51e79fca_3884.html", "HTML")</f>
        <v/>
      </c>
      <c r="L1261">
        <f>HYPERLINK("https://raw.githubusercontent.com/marcosmapl/dataset_imigrantes/main/noticias_filtered/g1/venezuelanos/2019/10_nov/txt/g1_c17fe642-2324-11ed-b24f-6dbe51e79fca_3884.txt", "TXT")</f>
        <v/>
      </c>
    </row>
    <row r="1262">
      <c r="A1262" s="1" t="n">
        <v>1260</v>
      </c>
      <c r="B1262" t="n">
        <v>2019</v>
      </c>
      <c r="C1262" s="2" t="n">
        <v>43773.81444043981</v>
      </c>
      <c r="D1262" t="inlineStr">
        <is>
          <t>G1</t>
        </is>
      </c>
      <c r="E1262" t="inlineStr">
        <is>
          <t>VENEZUELANOS</t>
        </is>
      </c>
      <c r="F1262" t="inlineStr">
        <is>
          <t>PIAUÍ</t>
        </is>
      </c>
      <c r="G1262" t="inlineStr">
        <is>
          <t>LUCAS MARREIROS, G1 PI</t>
        </is>
      </c>
      <c r="H1262" t="inlineStr">
        <is>
          <t>BEBÊ VENEZUELANO DE 1 ANO MORRE DE PNEUMONIA EM TERESINA</t>
        </is>
      </c>
      <c r="I1262" t="inlineStr">
        <is>
          <t>DE ACORDO COM A SECRETARIA MUNICIPAL DE CIDADANIA, ASSISTÊNCIA SOCIAL E POLÍTICAS INTEGRADAS, A CRIANÇA E A FAMÍLIA DELA CHEGARAM À CAPITAL DO PIAUÍ HÁ MENOS DE 10 DIAS.</t>
        </is>
      </c>
      <c r="J1262">
        <f>HYPERLINK("https://g1.globo.com/pi/piaui/noticia/2019/11/04/bebe-venezuelano-de-1-ano-morre-de-pneumonia-em-teresina.ghtml", "URL")</f>
        <v/>
      </c>
      <c r="K1262">
        <f>HYPERLINK("https://raw.githubusercontent.com/marcosmapl/dataset_imigrantes/main/noticias_filtered/g1/venezuelanos/2019/10_nov/html/g1_477d7c6c-231d-11ed-b24f-6dbe51e79fca_3494.html", "HTML")</f>
        <v/>
      </c>
      <c r="L1262">
        <f>HYPERLINK("https://raw.githubusercontent.com/marcosmapl/dataset_imigrantes/main/noticias_filtered/g1/venezuelanos/2019/10_nov/txt/g1_477d7c6c-231d-11ed-b24f-6dbe51e79fca_3494.txt", "TXT")</f>
        <v/>
      </c>
    </row>
    <row r="1263">
      <c r="A1263" s="1" t="n">
        <v>1261</v>
      </c>
      <c r="B1263" t="n">
        <v>2019</v>
      </c>
      <c r="C1263" s="2" t="n">
        <v>43773.65069444444</v>
      </c>
      <c r="D1263" t="inlineStr">
        <is>
          <t>PORTAL AMAZONIA</t>
        </is>
      </c>
      <c r="E1263" t="inlineStr">
        <is>
          <t>VENEZUELANOS</t>
        </is>
      </c>
      <c r="F1263" t="inlineStr">
        <is>
          <t>CIDADES</t>
        </is>
      </c>
      <c r="G1263" t="inlineStr">
        <is>
          <t>REDAÇÃO</t>
        </is>
      </c>
      <c r="H1263" t="inlineStr">
        <is>
          <t>FRANÇA ANUNCIA NOVO APOIO À ACOLHIDA DE VENEZUELANOS EM MANAUS</t>
        </is>
      </c>
      <c r="I1263" t="inlineStr">
        <is>
          <t>A EMBAIXADA DA FRANÇA NO BRASIL ASSINARÁ, NESTA SEGUNDA-FEIRA (04), UMA NOVA DOAÇÃO À CÁRITAS BRASIL, COM O OBJETIVO DE APOIAR A SITUAÇÃO DE ACOLHIDA DOS REFUGIADOS E MIGRANTES VENEZUELANOS EM MANAUS. O EVENTO SERÁ REALIZADO ÀS 18H NA SEDE DA CÁRITAS</t>
        </is>
      </c>
      <c r="J1263">
        <f>HYPERLINK("https://portalamazonia.com/noticias/cidades/franca-anuncia-novo-apoio-a-acolhida-de-venezuelanos-em-manaus", "URL")</f>
        <v/>
      </c>
      <c r="K1263">
        <f>HYPERLINK("https://raw.githubusercontent.com/marcosmapl/dataset_imigrantes/main/noticias_filtered/portal_amazonia/venezuelanos/2019/10_nov/html/21645.21645_1505.html", "HTML")</f>
        <v/>
      </c>
      <c r="L1263">
        <f>HYPERLINK("https://raw.githubusercontent.com/marcosmapl/dataset_imigrantes/main/noticias_filtered/portal_amazonia/venezuelanos/2019/10_nov/txt/21645.21645_1505.txt", "TXT")</f>
        <v/>
      </c>
    </row>
    <row r="1264">
      <c r="A1264" s="1" t="n">
        <v>1262</v>
      </c>
      <c r="B1264" t="n">
        <v>2019</v>
      </c>
      <c r="C1264" s="2" t="n">
        <v>43773.50263888889</v>
      </c>
      <c r="D1264" t="inlineStr">
        <is>
          <t>A CRITICA</t>
        </is>
      </c>
      <c r="E1264" t="inlineStr">
        <is>
          <t>VENEZUELANOS</t>
        </is>
      </c>
      <c r="F1264" t="inlineStr"/>
      <c r="G1264" t="inlineStr">
        <is>
          <t>AGÊNCIA BRASIL</t>
        </is>
      </c>
      <c r="H1264" t="inlineStr">
        <is>
          <t>SISTEMA ACOLHEDOR É CRIADO COMO BASE PARA CADASTRO DE VENEZUELANOS</t>
        </is>
      </c>
      <c r="I1264" t="inlineStr">
        <is>
          <t>INTERIORIZAR A ACOLHIDA, E CRIAR MELHORES OPORTUNIDADES DE INSERÇÃO DOS MIGRANTES DA VENEZUELA NO BRASIL SÃO OS OBJETIVOS DO SISTEMA CRIADO PELO GOVERNO FEDERAL</t>
        </is>
      </c>
      <c r="J1264">
        <f>HYPERLINK("https://www.acritica.com/sistema-acolhedor-e-criado-como-base-para-cadastro-de-venezuelanos-1.55889", "URL")</f>
        <v/>
      </c>
      <c r="K1264">
        <f>HYPERLINK("https://raw.githubusercontent.com/marcosmapl/dataset_imigrantes/main/noticias_filtered/a_critica/venezuelanos/2019/10_nov/html/1.55889_407.html", "HTML")</f>
        <v/>
      </c>
      <c r="L1264">
        <f>HYPERLINK("https://raw.githubusercontent.com/marcosmapl/dataset_imigrantes/main/noticias_filtered/a_critica/venezuelanos/2019/10_nov/txt/1.55889_407.txt", "TXT")</f>
        <v/>
      </c>
    </row>
    <row r="1265">
      <c r="A1265" s="1" t="n">
        <v>1263</v>
      </c>
      <c r="B1265" t="n">
        <v>2019</v>
      </c>
      <c r="C1265" s="2" t="n">
        <v>43773.49387476852</v>
      </c>
      <c r="D1265" t="inlineStr">
        <is>
          <t>G1</t>
        </is>
      </c>
      <c r="E1265" t="inlineStr">
        <is>
          <t>VENEZUELANOS</t>
        </is>
      </c>
      <c r="F1265" t="inlineStr">
        <is>
          <t>MATO GROSSO</t>
        </is>
      </c>
      <c r="G1265" t="inlineStr">
        <is>
          <t>LEANDRO TRINDADE, TV CENTRO AMÉRICA</t>
        </is>
      </c>
      <c r="H1265" t="inlineStr">
        <is>
          <t>GAROTA DE PROGRAMA VENEZUELANA É AGREDIDA E ESTUPRADA POR CLIENTE EM MOTEL EM MT</t>
        </is>
      </c>
      <c r="I1265" t="inlineStr">
        <is>
          <t>VÍTIMA CONSEGUIU ESCAPAR E CORREU NUA PARA A RUA, PEDINDO SOCORRO PARA MORADORES. ALGUMAS PESSOAS QUE ESTAVAM PERTO SOCORRERAM E A VÍTIMA, AGREDIRAM O SUSPEITO E CHAMARAM A POLÍCIA.</t>
        </is>
      </c>
      <c r="J1265">
        <f>HYPERLINK("https://g1.globo.com/mt/mato-grosso/noticia/2019/11/04/garota-de-programa-venezuelana-e-agredida-e-estuprada-por-cliente-em-motel-em-mt.ghtml", "URL")</f>
        <v/>
      </c>
      <c r="K1265">
        <f>HYPERLINK("https://raw.githubusercontent.com/marcosmapl/dataset_imigrantes/main/noticias_filtered/g1/venezuelanos/2019/10_nov/html/g1_93333a04-231b-11ed-b24f-6dbe51e79fca_3393.html", "HTML")</f>
        <v/>
      </c>
      <c r="L1265">
        <f>HYPERLINK("https://raw.githubusercontent.com/marcosmapl/dataset_imigrantes/main/noticias_filtered/g1/venezuelanos/2019/10_nov/txt/g1_93333a04-231b-11ed-b24f-6dbe51e79fca_3393.txt", "TXT")</f>
        <v/>
      </c>
    </row>
    <row r="1266">
      <c r="A1266" s="1" t="n">
        <v>1264</v>
      </c>
      <c r="B1266" t="n">
        <v>2019</v>
      </c>
      <c r="C1266" s="2" t="n">
        <v>43771.86806353009</v>
      </c>
      <c r="D1266" t="inlineStr">
        <is>
          <t>G1</t>
        </is>
      </c>
      <c r="E1266" t="inlineStr">
        <is>
          <t>AMBOS</t>
        </is>
      </c>
      <c r="F1266" t="inlineStr">
        <is>
          <t>MATO GROSSO</t>
        </is>
      </c>
      <c r="G1266" t="inlineStr">
        <is>
          <t>G1 MT</t>
        </is>
      </c>
      <c r="H1266" t="inlineStr">
        <is>
          <t>CRIANÇAS HAITIANAS E VENEZUELANAS ASSISTEM ESPETÁCULO DE BALÉ PELA 1ª VEZ EM CUIABÁ</t>
        </is>
      </c>
      <c r="I1266" t="inlineStr">
        <is>
          <t>VISITANTES TIVERAM INGRESSOS E TRANSPORTE GRATUITOS.</t>
        </is>
      </c>
      <c r="J1266">
        <f>HYPERLINK("https://g1.globo.com/mt/mato-grosso/noticia/2019/11/02/criancas-haitianas-e-venezuelanas-assistem-espetaculo-de-bale-pela-1a-vez-em-cuiaba.ghtml", "URL")</f>
        <v/>
      </c>
      <c r="K1266">
        <f>HYPERLINK("https://raw.githubusercontent.com/marcosmapl/dataset_imigrantes/main/noticias_filtered/g1/ambos/2019/10_nov/html/g1_a5f801bc-2323-11ed-b24f-6dbe51e79fca_3819.html", "HTML")</f>
        <v/>
      </c>
      <c r="L1266">
        <f>HYPERLINK("https://raw.githubusercontent.com/marcosmapl/dataset_imigrantes/main/noticias_filtered/g1/ambos/2019/10_nov/txt/g1_a5f801bc-2323-11ed-b24f-6dbe51e79fca_3819.txt", "TXT")</f>
        <v/>
      </c>
    </row>
    <row r="1267">
      <c r="A1267" s="1" t="n">
        <v>1265</v>
      </c>
      <c r="B1267" t="n">
        <v>2019</v>
      </c>
      <c r="C1267" s="2" t="n">
        <v>43771.70555555556</v>
      </c>
      <c r="D1267" t="inlineStr">
        <is>
          <t>A CRITICA</t>
        </is>
      </c>
      <c r="E1267" t="inlineStr">
        <is>
          <t>VENEZUELANOS</t>
        </is>
      </c>
      <c r="F1267" t="inlineStr"/>
      <c r="G1267" t="inlineStr">
        <is>
          <t>REUTERS</t>
        </is>
      </c>
      <c r="H1267" t="inlineStr">
        <is>
          <t>EMPRESA GREGA DIZ NÃO EXISTIREM PROVAS DE QUE É RESPONSÁVEL POR ÓLEO NO BRASIL</t>
        </is>
      </c>
      <c r="I1267" t="inlineStr">
        <is>
          <t>GERENTE DA DELTA TANKERS AFIRMA QUE NÃO HÁ EVIDÊNCIAS DE QUE NAVIO PETROLEIRO DA COMPANHIA CAUSOU O VAZAMENTO NO PAÍS DURANTE VIAGEM ENTRE A VENEZUELA E A MALÁSIA, CONFORME APONTADO PELA POLÍCIA FEDERAL</t>
        </is>
      </c>
      <c r="J1267">
        <f>HYPERLINK("https://www.acritica.com/empresa-grega-diz-n-o-existirem-provas-de-que-e-responsavel-por-oleo-no-brasil-1.56207", "URL")</f>
        <v/>
      </c>
      <c r="K1267">
        <f>HYPERLINK("https://raw.githubusercontent.com/marcosmapl/dataset_imigrantes/main/noticias_filtered/a_critica/venezuelanos/2019/10_nov/html/1.56207_1006.html", "HTML")</f>
        <v/>
      </c>
      <c r="L1267">
        <f>HYPERLINK("https://raw.githubusercontent.com/marcosmapl/dataset_imigrantes/main/noticias_filtered/a_critica/venezuelanos/2019/10_nov/txt/1.56207_1006.txt", "TXT")</f>
        <v/>
      </c>
    </row>
    <row r="1268">
      <c r="A1268" s="1" t="n">
        <v>1266</v>
      </c>
      <c r="B1268" t="n">
        <v>2019</v>
      </c>
      <c r="C1268" s="2" t="n">
        <v>43771.48534722222</v>
      </c>
      <c r="D1268" t="inlineStr">
        <is>
          <t>A CRITICA</t>
        </is>
      </c>
      <c r="E1268" t="inlineStr">
        <is>
          <t>VENEZUELANOS</t>
        </is>
      </c>
      <c r="F1268" t="inlineStr"/>
      <c r="G1268" t="inlineStr"/>
      <c r="H1268" t="inlineStr">
        <is>
          <t>JOSUÉ NETO DESCARTA CANDIDATURA</t>
        </is>
      </c>
      <c r="I1268" t="inlineStr"/>
      <c r="J1268">
        <f>HYPERLINK("https://www.acritica.com/josue-neto-descarta-candidatura-1.227854", "URL")</f>
        <v/>
      </c>
      <c r="K1268">
        <f>HYPERLINK("https://raw.githubusercontent.com/marcosmapl/dataset_imigrantes/main/noticias_filtered/a_critica/venezuelanos/2019/10_nov/html/1.227854_1110.html", "HTML")</f>
        <v/>
      </c>
      <c r="L1268">
        <f>HYPERLINK("https://raw.githubusercontent.com/marcosmapl/dataset_imigrantes/main/noticias_filtered/a_critica/venezuelanos/2019/10_nov/txt/1.227854_1110.txt", "TXT")</f>
        <v/>
      </c>
    </row>
    <row r="1269">
      <c r="A1269" s="1" t="n">
        <v>1267</v>
      </c>
      <c r="B1269" t="n">
        <v>2019</v>
      </c>
      <c r="C1269" s="2" t="n">
        <v>43770.58358917824</v>
      </c>
      <c r="D1269" t="inlineStr">
        <is>
          <t>G1</t>
        </is>
      </c>
      <c r="E1269" t="inlineStr">
        <is>
          <t>VENEZUELANOS</t>
        </is>
      </c>
      <c r="F1269" t="inlineStr">
        <is>
          <t>ZONA DA MATA</t>
        </is>
      </c>
      <c r="G1269" t="inlineStr">
        <is>
          <t>G1 ZONA DA MATA</t>
        </is>
      </c>
      <c r="H1269" t="inlineStr">
        <is>
          <t>VENEZUELANO MORRE EM ACIDENTE NA BR-267 EM BOM JARDIM DE MINAS</t>
        </is>
      </c>
      <c r="I1269" t="inlineStr">
        <is>
          <t>SEGUNDO  POLÍCIA RODOVIÁRIA FEDERAL (PRF), VÍTIMA FATAL ESTAVA EM CAMINHÃO QUE COLIDIU COM CARRETA, QUE PAROU NO ACOSTAMENTO DEPOIS DE FICAR SEM COMBUSTÍVEL.</t>
        </is>
      </c>
      <c r="J1269">
        <f>HYPERLINK("https://g1.globo.com/mg/zona-da-mata/noticia/2019/11/01/venezuelano-morre-em-acidente-entre-carreta-e-caminhao-na-br-267-em-bom-jardim-de-minas.ghtml", "URL")</f>
        <v/>
      </c>
      <c r="K1269">
        <f>HYPERLINK("https://raw.githubusercontent.com/marcosmapl/dataset_imigrantes/main/noticias_filtered/g1/venezuelanos/2019/10_nov/html/g1_f9820dda-2307-11ed-b24f-6dbe51e79fca_2356.html", "HTML")</f>
        <v/>
      </c>
      <c r="L1269">
        <f>HYPERLINK("https://raw.githubusercontent.com/marcosmapl/dataset_imigrantes/main/noticias_filtered/g1/venezuelanos/2019/10_nov/txt/g1_f9820dda-2307-11ed-b24f-6dbe51e79fca_2356.txt", "TXT")</f>
        <v/>
      </c>
    </row>
    <row r="1270">
      <c r="A1270" s="1" t="n">
        <v>1268</v>
      </c>
      <c r="B1270" t="n">
        <v>2019</v>
      </c>
      <c r="C1270" s="2" t="n">
        <v>43768.58709164352</v>
      </c>
      <c r="D1270" t="inlineStr">
        <is>
          <t>G1</t>
        </is>
      </c>
      <c r="E1270" t="inlineStr">
        <is>
          <t>VENEZUELANOS</t>
        </is>
      </c>
      <c r="F1270" t="inlineStr">
        <is>
          <t>RORAIMA</t>
        </is>
      </c>
      <c r="G1270" t="inlineStr">
        <is>
          <t>G1 RR — BOA VISTA</t>
        </is>
      </c>
      <c r="H1270" t="inlineStr">
        <is>
          <t>EVENTO EM RR DISCUTE ÁGUA, SANEAMENTO E HIGIENE NO CONTEXTO DA CRISE MIGRATÓRIA VENEZUELANA</t>
        </is>
      </c>
      <c r="I1270" t="inlineStr">
        <is>
          <t>WORKSHOP INTERNACIONAL COMEÇOU NESSA TERÇA (29) E SEGUE ATÉ A QUINTA (30).</t>
        </is>
      </c>
      <c r="J1270">
        <f>HYPERLINK("https://g1.globo.com/rr/roraima/noticia/2019/10/30/evento-em-rr-discute-agua-saneamento-e-higiene-no-contexto-da-crise-migratoria-venezuelana.ghtml", "URL")</f>
        <v/>
      </c>
      <c r="K1270">
        <f>HYPERLINK("https://raw.githubusercontent.com/marcosmapl/dataset_imigrantes/main/noticias_filtered/g1/venezuelanos/2019/09_out/html/g1_ed519a46-230f-11ed-b24f-6dbe51e79fca_2828.html", "HTML")</f>
        <v/>
      </c>
      <c r="L1270">
        <f>HYPERLINK("https://raw.githubusercontent.com/marcosmapl/dataset_imigrantes/main/noticias_filtered/g1/venezuelanos/2019/09_out/txt/g1_ed519a46-230f-11ed-b24f-6dbe51e79fca_2828.txt", "TXT")</f>
        <v/>
      </c>
    </row>
    <row r="1271">
      <c r="A1271" s="1" t="n">
        <v>1269</v>
      </c>
      <c r="B1271" t="n">
        <v>2019</v>
      </c>
      <c r="C1271" s="2" t="n">
        <v>43768.44791666666</v>
      </c>
      <c r="D1271" t="inlineStr">
        <is>
          <t>A CRITICA</t>
        </is>
      </c>
      <c r="E1271" t="inlineStr">
        <is>
          <t>VENEZUELANOS</t>
        </is>
      </c>
      <c r="F1271" t="inlineStr">
        <is>
          <t>MANAUS</t>
        </is>
      </c>
      <c r="G1271" t="inlineStr">
        <is>
          <t>REBECA BEATRIZ</t>
        </is>
      </c>
      <c r="H1271" t="inlineStr">
        <is>
          <t>VAZAMENTO DE ÓLEO EM PRAIAS DO NORDESTE AFETA COMPRAS DE PASSAGENS EM MANAUS</t>
        </is>
      </c>
      <c r="I1271" t="inlineStr">
        <is>
          <t>AGÊNCIAS DE VIAGENS E ESPECIALISTAS EM TURISMO TEMEM QUE ÓLEO QUE ATINGIU PRAIAS DO NORDESTE AFUGENTE OS TURISTAS ORIUNDOS DE MANAUS</t>
        </is>
      </c>
      <c r="J1271">
        <f>HYPERLINK("https://www.acritica.com/manaus/vazamento-de-oleo-em-praias-do-nordeste-afeta-compras-de-passagens-em-manaus-1.56096", "URL")</f>
        <v/>
      </c>
      <c r="K1271">
        <f>HYPERLINK("https://raw.githubusercontent.com/marcosmapl/dataset_imigrantes/main/noticias_filtered/a_critica/venezuelanos/2019/09_out/html/1.56096_80.html", "HTML")</f>
        <v/>
      </c>
      <c r="L1271">
        <f>HYPERLINK("https://raw.githubusercontent.com/marcosmapl/dataset_imigrantes/main/noticias_filtered/a_critica/venezuelanos/2019/09_out/txt/1.56096_80.txt", "TXT")</f>
        <v/>
      </c>
    </row>
    <row r="1272">
      <c r="A1272" s="1" t="n">
        <v>1270</v>
      </c>
      <c r="B1272" t="n">
        <v>2019</v>
      </c>
      <c r="C1272" s="2" t="n">
        <v>43767.81345362269</v>
      </c>
      <c r="D1272" t="inlineStr">
        <is>
          <t>G1</t>
        </is>
      </c>
      <c r="E1272" t="inlineStr">
        <is>
          <t>VENEZUELANOS</t>
        </is>
      </c>
      <c r="F1272" t="inlineStr">
        <is>
          <t>MUNDO</t>
        </is>
      </c>
      <c r="G1272" t="inlineStr">
        <is>
          <t>RFI</t>
        </is>
      </c>
      <c r="H1272" t="inlineStr">
        <is>
          <t>NÚMERO DE REFUGIADOS E MIGRANTES VENEZUELANOS NO MUNDO VAI SUPERAR EM BREVE O DE SÍRIOS</t>
        </is>
      </c>
      <c r="I1272" t="inlineStr">
        <is>
          <t>ATÉ O FINAL DO ANO, O NÚMERO DE VENEZUELANOS QUE DEIXARAM SEU PAÍS DEVE CHEGAR A CINCO MILHÕES DE PESSOAS E, EM BREVE, SERÁ MAIOR QUE O DE REFUGIADOS SÍRIOS NO MUNDO.</t>
        </is>
      </c>
      <c r="J1272">
        <f>HYPERLINK("https://g1.globo.com/mundo/noticia/2019/10/29/numero-de-refugiados-e-migrantes-venezuelanos-no-mundo-vai-superar-em-breve-o-de-sirios.ghtml", "URL")</f>
        <v/>
      </c>
      <c r="K1272">
        <f>HYPERLINK("https://raw.githubusercontent.com/marcosmapl/dataset_imigrantes/main/noticias_filtered/g1/venezuelanos/2019/09_out/html/g1_5149ab18-2312-11ed-b24f-6dbe51e79fca_2961.html", "HTML")</f>
        <v/>
      </c>
      <c r="L1272">
        <f>HYPERLINK("https://raw.githubusercontent.com/marcosmapl/dataset_imigrantes/main/noticias_filtered/g1/venezuelanos/2019/09_out/txt/g1_5149ab18-2312-11ed-b24f-6dbe51e79fca_2961.txt", "TXT")</f>
        <v/>
      </c>
    </row>
    <row r="1273">
      <c r="A1273" s="1" t="n">
        <v>1271</v>
      </c>
      <c r="B1273" t="n">
        <v>2019</v>
      </c>
      <c r="C1273" s="2" t="n">
        <v>43767.42791755787</v>
      </c>
      <c r="D1273" t="inlineStr">
        <is>
          <t>G1</t>
        </is>
      </c>
      <c r="E1273" t="inlineStr">
        <is>
          <t>VENEZUELANOS</t>
        </is>
      </c>
      <c r="F1273" t="inlineStr">
        <is>
          <t>PERNAMBUCO</t>
        </is>
      </c>
      <c r="G1273" t="inlineStr">
        <is>
          <t>G1 PE</t>
        </is>
      </c>
      <c r="H1273" t="inlineStr">
        <is>
          <t>VENEZUELANO É PRESO COM 69 CÁPSULAS DE COCAÍNA NO ESTÔMAGO, NO AEROPORTO DO RECIFE</t>
        </is>
      </c>
      <c r="I1273" t="inlineStr">
        <is>
          <t>HOMEM, DE 34 ANOS, PASSOU MAL DURANTE ABORDAGEM DE ROTINA. ELE RELATOU À POLÍCIA FEDERAL QUE DROGA SERIA LEVADA PARA PARIS, NA FRANÇA.</t>
        </is>
      </c>
      <c r="J1273">
        <f>HYPERLINK("https://g1.globo.com/pe/pernambuco/noticia/2019/10/29/venezuelano-e-preso-com-capsulas-de-cocaina-no-estomago-no-aeroporto-do-recife.ghtml", "URL")</f>
        <v/>
      </c>
      <c r="K1273">
        <f>HYPERLINK("https://raw.githubusercontent.com/marcosmapl/dataset_imigrantes/main/noticias_filtered/g1/venezuelanos/2019/09_out/html/g1_4a6adb9c-2316-11ed-b24f-6dbe51e79fca_3139.html", "HTML")</f>
        <v/>
      </c>
      <c r="L1273">
        <f>HYPERLINK("https://raw.githubusercontent.com/marcosmapl/dataset_imigrantes/main/noticias_filtered/g1/venezuelanos/2019/09_out/txt/g1_4a6adb9c-2316-11ed-b24f-6dbe51e79fca_3139.txt", "TXT")</f>
        <v/>
      </c>
    </row>
    <row r="1274">
      <c r="A1274" s="1" t="n">
        <v>1272</v>
      </c>
      <c r="B1274" t="n">
        <v>2019</v>
      </c>
      <c r="C1274" s="2" t="n">
        <v>43766.03806712963</v>
      </c>
      <c r="D1274" t="inlineStr">
        <is>
          <t>A CRITICA</t>
        </is>
      </c>
      <c r="E1274" t="inlineStr">
        <is>
          <t>VENEZUELANOS</t>
        </is>
      </c>
      <c r="F1274" t="inlineStr"/>
      <c r="G1274" t="inlineStr">
        <is>
          <t>REUTERS</t>
        </is>
      </c>
      <c r="H1274" t="inlineStr">
        <is>
          <t>LIMPEZA DE ÓLEO EM PRAIAS DO NORDESTE DEIXA VOLUNTÁRIOS DOENTES</t>
        </is>
      </c>
      <c r="I1274" t="inlineStr">
        <is>
          <t>UMA COALIZÃO DE VOLUNTÁRIOS, FUNCIONÁRIOS PÚBLICOS E MILITARES FOI ÀS PRAIAS PARA SALVAR TARTARUGAS E OUTROS ANIMAIS, COLETANDO O ÓLEO EM SACOS, COM NÍVEIS VARIADOS DE TREINAMENTO E APOIO.</t>
        </is>
      </c>
      <c r="J1274">
        <f>HYPERLINK("https://www.acritica.com/limpeza-de-oleo-em-praias-do-nordeste-deixa-voluntarios-doentes-1.56419", "URL")</f>
        <v/>
      </c>
      <c r="K1274">
        <f>HYPERLINK("https://raw.githubusercontent.com/marcosmapl/dataset_imigrantes/main/noticias_filtered/a_critica/venezuelanos/2019/09_out/html/1.56419_463.html", "HTML")</f>
        <v/>
      </c>
      <c r="L1274">
        <f>HYPERLINK("https://raw.githubusercontent.com/marcosmapl/dataset_imigrantes/main/noticias_filtered/a_critica/venezuelanos/2019/09_out/txt/1.56419_463.txt", "TXT")</f>
        <v/>
      </c>
    </row>
    <row r="1275">
      <c r="A1275" s="1" t="n">
        <v>1273</v>
      </c>
      <c r="B1275" t="n">
        <v>2019</v>
      </c>
      <c r="C1275" s="2" t="n">
        <v>43765.79302083333</v>
      </c>
      <c r="D1275" t="inlineStr">
        <is>
          <t>A CRITICA</t>
        </is>
      </c>
      <c r="E1275" t="inlineStr">
        <is>
          <t>VENEZUELANOS</t>
        </is>
      </c>
      <c r="F1275" t="inlineStr"/>
      <c r="G1275" t="inlineStr">
        <is>
          <t>AGÊNCIA BRASIL</t>
        </is>
      </c>
      <c r="H1275" t="inlineStr">
        <is>
          <t>GOVERNO PEDE ESCLARECIMENTOS A 11 PAÍSES SOBRE ORIGEM DO ÓLEO</t>
        </is>
      </c>
      <c r="I1275" t="inlineStr">
        <is>
          <t>A INVESTIGAÇÃO CONDUZIDA PELA MARINHA TRABALHA COM A TESE DE QUE O RESPONSÁVEL TERIA SIDO UM NAVIO-TANQUE. A APURAÇÃO INICIAL AVALIOU 1.500 EMBARCAÇÕES E AFUNILOU A ANÁLISE PARA 30 VEÍCULOS MARINHOS DE 11 PAÍSES.</t>
        </is>
      </c>
      <c r="J1275">
        <f>HYPERLINK("https://www.acritica.com/governo-pede-esclarecimentos-a-11-paises-sobre-origem-do-oleo-1.56430", "URL")</f>
        <v/>
      </c>
      <c r="K1275">
        <f>HYPERLINK("https://raw.githubusercontent.com/marcosmapl/dataset_imigrantes/main/noticias_filtered/a_critica/venezuelanos/2019/09_out/html/1.56430_18.html", "HTML")</f>
        <v/>
      </c>
      <c r="L1275">
        <f>HYPERLINK("https://raw.githubusercontent.com/marcosmapl/dataset_imigrantes/main/noticias_filtered/a_critica/venezuelanos/2019/09_out/txt/1.56430_18.txt", "TXT")</f>
        <v/>
      </c>
    </row>
    <row r="1276">
      <c r="A1276" s="1" t="n">
        <v>1274</v>
      </c>
      <c r="B1276" t="n">
        <v>2019</v>
      </c>
      <c r="C1276" s="2" t="n">
        <v>43765.02569444444</v>
      </c>
      <c r="D1276" t="inlineStr">
        <is>
          <t>A CRITICA</t>
        </is>
      </c>
      <c r="E1276" t="inlineStr">
        <is>
          <t>VENEZUELANOS</t>
        </is>
      </c>
      <c r="F1276" t="inlineStr">
        <is>
          <t>ESPORTES</t>
        </is>
      </c>
      <c r="G1276" t="inlineStr">
        <is>
          <t>DENIR SIMPLÍCIO</t>
        </is>
      </c>
      <c r="H1276" t="inlineStr">
        <is>
          <t>AMAZONAS FC BATE O SÃO RAIMUNDO E FICA PRÓXIMO DO ACESSO NO AMAZONENSE</t>
        </is>
      </c>
      <c r="I1276" t="inlineStr">
        <is>
          <t>O CAÇULA DO FUTEBOL BARÉ VENCEU POR 3 A 0 E ESTÁ PRÓXIMO DE CONSEGUIR O ACESSO À ELITE DO FUTEBOL AMAZONENSE</t>
        </is>
      </c>
      <c r="J1276">
        <f>HYPERLINK("https://www.acritica.com/esportes/amazonas-fc-bate-o-s-o-raimundo-e-fica-proximo-do-acesso-no-amazonense-1.56443", "URL")</f>
        <v/>
      </c>
      <c r="K1276">
        <f>HYPERLINK("https://raw.githubusercontent.com/marcosmapl/dataset_imigrantes/main/noticias_filtered/a_critica/venezuelanos/2019/09_out/html/1.56443_307.html", "HTML")</f>
        <v/>
      </c>
      <c r="L1276">
        <f>HYPERLINK("https://raw.githubusercontent.com/marcosmapl/dataset_imigrantes/main/noticias_filtered/a_critica/venezuelanos/2019/09_out/txt/1.56443_307.txt", "TXT")</f>
        <v/>
      </c>
    </row>
    <row r="1277">
      <c r="A1277" s="1" t="n">
        <v>1275</v>
      </c>
      <c r="B1277" t="n">
        <v>2019</v>
      </c>
      <c r="C1277" s="2" t="n">
        <v>43764.88913752315</v>
      </c>
      <c r="D1277" t="inlineStr">
        <is>
          <t>G1</t>
        </is>
      </c>
      <c r="E1277" t="inlineStr">
        <is>
          <t>HAITIANOS</t>
        </is>
      </c>
      <c r="F1277" t="inlineStr">
        <is>
          <t>SANTA CATARINA</t>
        </is>
      </c>
      <c r="G1277" t="inlineStr">
        <is>
          <t>G1 SC</t>
        </is>
      </c>
      <c r="H1277" t="inlineStr">
        <is>
          <t>CORPO DE HOMEM DESAPARECIDO EM MAR DE BALNEÁRIO BARRA DO SUL É ENCONTRADO</t>
        </is>
      </c>
      <c r="I1277" t="inlineStr">
        <is>
          <t>VÍTIMA SERIA UM HAITIANO DE 29 ANOS. ELE TERIA SE AFOGADO NA ÚLTIMA QUINTA-FEIRA (24), NA LOCALIDADE CHAMADA BOCA DA BARRA.</t>
        </is>
      </c>
      <c r="J1277">
        <f>HYPERLINK("https://g1.globo.com/sc/santa-catarina/noticia/2019/10/26/corpo-de-homem-desaparecido-em-mar-de-balneario-barra-do-sul-e-encontrado.ghtml", "URL")</f>
        <v/>
      </c>
      <c r="K1277">
        <f>HYPERLINK("https://raw.githubusercontent.com/marcosmapl/dataset_imigrantes/main/noticias_filtered/g1/haitianos/2019/09_out/html/g1_a004c4aa-232a-11ed-b24f-6dbe51e79fca_4191.html", "HTML")</f>
        <v/>
      </c>
      <c r="L1277">
        <f>HYPERLINK("https://raw.githubusercontent.com/marcosmapl/dataset_imigrantes/main/noticias_filtered/g1/haitianos/2019/09_out/txt/g1_a004c4aa-232a-11ed-b24f-6dbe51e79fca_4191.txt", "TXT")</f>
        <v/>
      </c>
    </row>
    <row r="1278">
      <c r="A1278" s="1" t="n">
        <v>1276</v>
      </c>
      <c r="B1278" t="n">
        <v>2019</v>
      </c>
      <c r="C1278" s="2" t="n">
        <v>43763.8181712963</v>
      </c>
      <c r="D1278" t="inlineStr">
        <is>
          <t>A CRITICA</t>
        </is>
      </c>
      <c r="E1278" t="inlineStr">
        <is>
          <t>VENEZUELANOS</t>
        </is>
      </c>
      <c r="F1278" t="inlineStr"/>
      <c r="G1278" t="inlineStr">
        <is>
          <t>AGÊNCIA BRASIL</t>
        </is>
      </c>
      <c r="H1278" t="inlineStr">
        <is>
          <t>ÓLEO QUE VAZOU FOI EXTRAÍDO DE TRÊS CAMPOS NA VENEZUELA, DIZ PETROBRAS</t>
        </is>
      </c>
      <c r="I1278" t="inlineStr">
        <is>
          <t>APESAR DISSO, A ORIGEM DO VAZAMENTO AINDA É INCERTA, COM MAIOR PROBABILIDADE DE TER OCORRIDO NA COSTA BRASILEIRA, SEGUNDO O DIRETOR DE ASSUNTOS CORPORATIVOS DA PETROBRAS, EBERALDO NETO</t>
        </is>
      </c>
      <c r="J1278">
        <f>HYPERLINK("https://www.acritica.com/oleo-que-vazou-foi-extraido-de-tres-campos-na-venezuela-diz-petrobras-1.57018", "URL")</f>
        <v/>
      </c>
      <c r="K1278">
        <f>HYPERLINK("https://raw.githubusercontent.com/marcosmapl/dataset_imigrantes/main/noticias_filtered/a_critica/venezuelanos/2019/09_out/html/1.57018_826.html", "HTML")</f>
        <v/>
      </c>
      <c r="L1278">
        <f>HYPERLINK("https://raw.githubusercontent.com/marcosmapl/dataset_imigrantes/main/noticias_filtered/a_critica/venezuelanos/2019/09_out/txt/1.57018_826.txt", "TXT")</f>
        <v/>
      </c>
    </row>
    <row r="1279">
      <c r="A1279" s="1" t="n">
        <v>1277</v>
      </c>
      <c r="B1279" t="n">
        <v>2019</v>
      </c>
      <c r="C1279" s="2" t="n">
        <v>43763.11666666667</v>
      </c>
      <c r="D1279" t="inlineStr">
        <is>
          <t>PORTAL AMAZONIA</t>
        </is>
      </c>
      <c r="E1279" t="inlineStr">
        <is>
          <t>VENEZUELANOS</t>
        </is>
      </c>
      <c r="F1279" t="inlineStr">
        <is>
          <t>CIDADES</t>
        </is>
      </c>
      <c r="G1279" t="inlineStr">
        <is>
          <t>REDAÇÃO</t>
        </is>
      </c>
      <c r="H1279" t="inlineStr">
        <is>
          <t>GARANTIDO E CAPRICHOSO: NA SEGUNDA NOITE DO BOI MANAUS, ARTISTAS LOCAIS EXALTAM CULTURA DOS BUMBÁS DE PARINTINS</t>
        </is>
      </c>
      <c r="I1279" t="inlineStr">
        <is>
          <t>NESTA QUINTA-FEIRA (24) A CIDADE DE MANAUS FEZ 350 ANOS DE FUNDAÇÃO. E NADA MELHOR PARA CELEBRAR ESTE MARCO DO QUE MUITA TOADA E DIVERSÃO. O COMPLEXO TURÍSTICO DA PONTA NEGRA SEDIOU A SEGUNDA NOITE DE PROGRAMAÇÃO DO BOI MANAUS 2019, EVENTO QUE REÚNE</t>
        </is>
      </c>
      <c r="J1279">
        <f>HYPERLINK("https://portalamazonia.com/noticias/cidades/garantido-e-caprichoso-na-segunda-noite-do-boi-manaus-artistas-locais-exaltam-cultura-dos-bumbas-de-parintins", "URL")</f>
        <v/>
      </c>
      <c r="K1279">
        <f>HYPERLINK("https://raw.githubusercontent.com/marcosmapl/dataset_imigrantes/main/noticias_filtered/portal_amazonia/venezuelanos/2019/09_out/html/22006.22006_1584.html", "HTML")</f>
        <v/>
      </c>
      <c r="L1279">
        <f>HYPERLINK("https://raw.githubusercontent.com/marcosmapl/dataset_imigrantes/main/noticias_filtered/portal_amazonia/venezuelanos/2019/09_out/txt/22006.22006_1584.txt", "TXT")</f>
        <v/>
      </c>
    </row>
    <row r="1280">
      <c r="A1280" s="1" t="n">
        <v>1278</v>
      </c>
      <c r="B1280" t="n">
        <v>2019</v>
      </c>
      <c r="C1280" s="2" t="n">
        <v>43762.84583333333</v>
      </c>
      <c r="D1280" t="inlineStr">
        <is>
          <t>A CRITICA</t>
        </is>
      </c>
      <c r="E1280" t="inlineStr">
        <is>
          <t>VENEZUELANOS</t>
        </is>
      </c>
      <c r="F1280" t="inlineStr"/>
      <c r="G1280" t="inlineStr">
        <is>
          <t>REUTERS</t>
        </is>
      </c>
      <c r="H1280" t="inlineStr">
        <is>
          <t>RICARDO SALLES INSINUA ENVOLVIMENTO DO GREENPEACE COM PETRÓLEO EM PRAIAS</t>
        </is>
      </c>
      <c r="I1280" t="inlineStr">
        <is>
          <t>O MINISTRO DO MEIO AMBIENTE, ENTRETANTO, NÃO APRESENTOU PROVAS. ONG REBATE E DIZ QUE FALA DE SALLES É TENTATIVA DE ESCONDER A INCAPACIDADE EM LIDAR COM A SITUAÇÃO</t>
        </is>
      </c>
      <c r="J1280">
        <f>HYPERLINK("https://www.acritica.com/ricardo-salles-insinua-envolvimento-do-greenpeace-com-petroleo-em-praias-1.56451", "URL")</f>
        <v/>
      </c>
      <c r="K1280">
        <f>HYPERLINK("https://raw.githubusercontent.com/marcosmapl/dataset_imigrantes/main/noticias_filtered/a_critica/venezuelanos/2019/09_out/html/1.56451_669.html", "HTML")</f>
        <v/>
      </c>
      <c r="L1280">
        <f>HYPERLINK("https://raw.githubusercontent.com/marcosmapl/dataset_imigrantes/main/noticias_filtered/a_critica/venezuelanos/2019/09_out/txt/1.56451_669.txt", "TXT")</f>
        <v/>
      </c>
    </row>
    <row r="1281">
      <c r="A1281" s="1" t="n">
        <v>1279</v>
      </c>
      <c r="B1281" t="n">
        <v>2019</v>
      </c>
      <c r="C1281" s="2" t="n">
        <v>43762.80892361111</v>
      </c>
      <c r="D1281" t="inlineStr">
        <is>
          <t>A CRITICA</t>
        </is>
      </c>
      <c r="E1281" t="inlineStr">
        <is>
          <t>VENEZUELANOS</t>
        </is>
      </c>
      <c r="F1281" t="inlineStr"/>
      <c r="G1281" t="inlineStr">
        <is>
          <t>REUTERS</t>
        </is>
      </c>
      <c r="H1281" t="inlineStr">
        <is>
          <t>BOLSONARO ANUNCIA QUE ISENTARÁ CHINESES E INDIANOS DE VISTO</t>
        </is>
      </c>
      <c r="I1281" t="inlineStr">
        <is>
          <t>MINISTRO DAS RELAÇÕES EXTERIORES DISSE QUE OS PASSOS PARA A ISENÇÃO DO VISTO ESTÃO SENDO ANALISADOS E AFIRMOU QUE NÃO HÁ GARANTIA DE RECIPROCIDADE</t>
        </is>
      </c>
      <c r="J1281">
        <f>HYPERLINK("https://www.acritica.com/bolsonaro-anuncia-que-isentara-chineses-e-indianos-de-visto-1.56455", "URL")</f>
        <v/>
      </c>
      <c r="K1281">
        <f>HYPERLINK("https://raw.githubusercontent.com/marcosmapl/dataset_imigrantes/main/noticias_filtered/a_critica/venezuelanos/2019/09_out/html/1.56455_1088.html", "HTML")</f>
        <v/>
      </c>
      <c r="L1281">
        <f>HYPERLINK("https://raw.githubusercontent.com/marcosmapl/dataset_imigrantes/main/noticias_filtered/a_critica/venezuelanos/2019/09_out/txt/1.56455_1088.txt", "TXT")</f>
        <v/>
      </c>
    </row>
    <row r="1282">
      <c r="A1282" s="1" t="n">
        <v>1280</v>
      </c>
      <c r="B1282" t="n">
        <v>2019</v>
      </c>
      <c r="C1282" s="2" t="n">
        <v>43761.98645271991</v>
      </c>
      <c r="D1282" t="inlineStr">
        <is>
          <t>G1</t>
        </is>
      </c>
      <c r="E1282" t="inlineStr">
        <is>
          <t>VENEZUELANOS</t>
        </is>
      </c>
      <c r="F1282" t="inlineStr">
        <is>
          <t>NATUREZA</t>
        </is>
      </c>
      <c r="G1282" t="inlineStr">
        <is>
          <t>G1</t>
        </is>
      </c>
      <c r="H1282" t="inlineStr">
        <is>
          <t>GOVERNO FEDERAL VAI SOLICITAR À OEA QUE VENEZUELA SE MANIFESTE SOBRE ÓLEO NO NORDESTE, DIZ MINISTRO</t>
        </is>
      </c>
      <c r="I1282" t="inlineStr">
        <is>
          <t>EM PRONUNCIAMENTO NA TELEVISÃO, O MINISTRO DO MEIO AMBIENTE, RICARDO SALLES, REAFIRMOU QUE AMOSTRAS ANALISADAS APONTAM QUE O ÓLEO TEM ORIGEM VENEZUELANA.</t>
        </is>
      </c>
      <c r="J1282">
        <f>HYPERLINK("https://g1.globo.com/natureza/desastre-ambiental-petroleo-praias/noticia/2019/10/23/governo-federal-solicitou-a-oea-que-venezuela-se-manifeste-sobre-o-vazamento-de-oleo-na-costa-brasileira-diz-ministro.ghtml", "URL")</f>
        <v/>
      </c>
      <c r="K1282">
        <f>HYPERLINK("https://raw.githubusercontent.com/marcosmapl/dataset_imigrantes/main/noticias_filtered/g1/venezuelanos/2019/09_out/html/g1_8fd66de8-2318-11ed-b24f-6dbe51e79fca_3266.html", "HTML")</f>
        <v/>
      </c>
      <c r="L1282">
        <f>HYPERLINK("https://raw.githubusercontent.com/marcosmapl/dataset_imigrantes/main/noticias_filtered/g1/venezuelanos/2019/09_out/txt/g1_8fd66de8-2318-11ed-b24f-6dbe51e79fca_3266.txt", "TXT")</f>
        <v/>
      </c>
    </row>
    <row r="1283">
      <c r="A1283" s="1" t="n">
        <v>1281</v>
      </c>
      <c r="B1283" t="n">
        <v>2019</v>
      </c>
      <c r="C1283" s="2" t="n">
        <v>43759.79441922453</v>
      </c>
      <c r="D1283" t="inlineStr">
        <is>
          <t>G1</t>
        </is>
      </c>
      <c r="E1283" t="inlineStr">
        <is>
          <t>VENEZUELANOS</t>
        </is>
      </c>
      <c r="F1283" t="inlineStr">
        <is>
          <t>MATO GROSSO</t>
        </is>
      </c>
      <c r="G1283" t="inlineStr">
        <is>
          <t>G1 MT</t>
        </is>
      </c>
      <c r="H1283" t="inlineStr">
        <is>
          <t>IMIGRANTE DE 77 ANOS ESFAQUEIA VENEZUELANA E É AGREDIDO POR VIZINHOS EM MT</t>
        </is>
      </c>
      <c r="I1283" t="inlineStr">
        <is>
          <t>SUSPEITO TEVE DOIS DENTES QUEBRADOS, UM CORTE NA CABEÇA E VÁRIAS ESCORIAÇÕES PELO CORPO. JÁ A VÍTIMA FOI ENCONTRADA ESFAQUEADA SENTADA EM UMA CADEIRA NA CASA ONDE MORA.</t>
        </is>
      </c>
      <c r="J1283">
        <f>HYPERLINK("https://g1.globo.com/mt/mato-grosso/noticia/2019/10/21/imigrante-de-77-anos-esfaqueia-venezuelana-e-e-agredido-por-vizinhos-em-mt.ghtml", "URL")</f>
        <v/>
      </c>
      <c r="K1283">
        <f>HYPERLINK("https://raw.githubusercontent.com/marcosmapl/dataset_imigrantes/main/noticias_filtered/g1/venezuelanos/2019/09_out/html/g1_85d0d65e-2308-11ed-b24f-6dbe51e79fca_2389.html", "HTML")</f>
        <v/>
      </c>
      <c r="L1283">
        <f>HYPERLINK("https://raw.githubusercontent.com/marcosmapl/dataset_imigrantes/main/noticias_filtered/g1/venezuelanos/2019/09_out/txt/g1_85d0d65e-2308-11ed-b24f-6dbe51e79fca_2389.txt", "TXT")</f>
        <v/>
      </c>
    </row>
    <row r="1284">
      <c r="A1284" s="1" t="n">
        <v>1282</v>
      </c>
      <c r="B1284" t="n">
        <v>2019</v>
      </c>
      <c r="C1284" s="2" t="n">
        <v>43759.4312053125</v>
      </c>
      <c r="D1284" t="inlineStr">
        <is>
          <t>G1</t>
        </is>
      </c>
      <c r="E1284" t="inlineStr">
        <is>
          <t>VENEZUELANOS</t>
        </is>
      </c>
      <c r="F1284" t="inlineStr">
        <is>
          <t>SÃO CARLOS E ARARAQUARA</t>
        </is>
      </c>
      <c r="G1284" t="inlineStr">
        <is>
          <t>G1 SÃO CARLOS E ARARAQUARA</t>
        </is>
      </c>
      <c r="H1284" t="inlineStr">
        <is>
          <t>PROJETO DA UNESP ENSINA A LÍNGUA PORTUGUESA PARA IMIGRANTES VENEZUELANOS EM ARARAQUARA</t>
        </is>
      </c>
      <c r="I1284" t="inlineStr">
        <is>
          <t>AULAS SÃO DE GRAÇA E DADAS POR ALUNOS DO DOUTORADO, MESTRADO E GRADUAÇÃO DA FACULDADE DE LETRAS.</t>
        </is>
      </c>
      <c r="J1284">
        <f>HYPERLINK("https://g1.globo.com/sp/sao-carlos-regiao/noticia/2019/10/21/projeto-da-unesp-ensina-a-lingua-portuguesa-para-imigrantes-venezuelanos-em-araraquara.ghtml", "URL")</f>
        <v/>
      </c>
      <c r="K1284">
        <f>HYPERLINK("https://raw.githubusercontent.com/marcosmapl/dataset_imigrantes/main/noticias_filtered/g1/venezuelanos/2019/09_out/html/g1_3553856c-232d-11ed-b24f-6dbe51e79fca_4347.html", "HTML")</f>
        <v/>
      </c>
      <c r="L1284">
        <f>HYPERLINK("https://raw.githubusercontent.com/marcosmapl/dataset_imigrantes/main/noticias_filtered/g1/venezuelanos/2019/09_out/txt/g1_3553856c-232d-11ed-b24f-6dbe51e79fca_4347.txt", "TXT")</f>
        <v/>
      </c>
    </row>
    <row r="1285">
      <c r="A1285" s="1" t="n">
        <v>1283</v>
      </c>
      <c r="B1285" t="n">
        <v>2019</v>
      </c>
      <c r="C1285" s="2" t="n">
        <v>43755.81458333333</v>
      </c>
      <c r="D1285" t="inlineStr">
        <is>
          <t>A CRITICA</t>
        </is>
      </c>
      <c r="E1285" t="inlineStr">
        <is>
          <t>VENEZUELANOS</t>
        </is>
      </c>
      <c r="F1285" t="inlineStr">
        <is>
          <t>MANAUS</t>
        </is>
      </c>
      <c r="G1285" t="inlineStr">
        <is>
          <t>JOHNY VASCONCELOS</t>
        </is>
      </c>
      <c r="H1285" t="inlineStr">
        <is>
          <t>TESTE CONFIRMA QUE OSSADA ACHADA NA PONTA NEGRA É DE JOVEM DESAPARECIDO EM 2018</t>
        </is>
      </c>
      <c r="I1285" t="inlineStr">
        <is>
          <t>ESTUDANTE RAYNER VINICIUS DA SILVA GONÇALVES, DE 15 ANOS, DESAPARECEU NO ANO PASSADO, APÓS SAIR PARA CAMINHAR NA PRAIA, NA ZONA OESTE. CASO AINDA É UM MISTÉRIO PARA POLÍCIA E FAMILIARES</t>
        </is>
      </c>
      <c r="J1285">
        <f>HYPERLINK("https://www.acritica.com/manaus/teste-confirma-que-ossada-achada-na-ponta-negra-e-de-jovem-desaparecido-em-2018-1.56694", "URL")</f>
        <v/>
      </c>
      <c r="K1285">
        <f>HYPERLINK("https://raw.githubusercontent.com/marcosmapl/dataset_imigrantes/main/noticias_filtered/a_critica/venezuelanos/2019/09_out/html/1.56694_702.html", "HTML")</f>
        <v/>
      </c>
      <c r="L1285">
        <f>HYPERLINK("https://raw.githubusercontent.com/marcosmapl/dataset_imigrantes/main/noticias_filtered/a_critica/venezuelanos/2019/09_out/txt/1.56694_702.txt", "TXT")</f>
        <v/>
      </c>
    </row>
    <row r="1286">
      <c r="A1286" s="1" t="n">
        <v>1284</v>
      </c>
      <c r="B1286" t="n">
        <v>2019</v>
      </c>
      <c r="C1286" s="2" t="n">
        <v>43755.6139699074</v>
      </c>
      <c r="D1286" t="inlineStr">
        <is>
          <t>A CRITICA</t>
        </is>
      </c>
      <c r="E1286" t="inlineStr">
        <is>
          <t>VENEZUELANOS</t>
        </is>
      </c>
      <c r="F1286" t="inlineStr">
        <is>
          <t>MANAUS</t>
        </is>
      </c>
      <c r="G1286" t="inlineStr">
        <is>
          <t>PORTAL A CRÍTICA</t>
        </is>
      </c>
      <c r="H1286" t="inlineStr">
        <is>
          <t>SIMULACRO DE ARMA DE FOGO É ENCONTRADO DURANTE OPERAÇÃO EM ABRIGO DE VENEZUELANOS</t>
        </is>
      </c>
      <c r="I1286" t="inlineStr">
        <is>
          <t>A OPERAÇÃO EXTRANEUS TEVE COMO ALVO O ABRIGO DE ESTRANGEIROS VENEZUELANOS LOCALIZADO NO BAIRRO COROADO. O OBJETIVO DAS DILIGÊNCIAS É COMBATER O TRÁFICO DE DROGAS E A PRESENÇA DE ARMAS DE FOGO NO LUGAR.</t>
        </is>
      </c>
      <c r="J1286">
        <f>HYPERLINK("https://www.acritica.com/manaus/simulacro-de-arma-de-fogo-e-encontrado-durante-operac-o-em-abrigo-de-venezuelanos-1.57337", "URL")</f>
        <v/>
      </c>
      <c r="K1286">
        <f>HYPERLINK("https://raw.githubusercontent.com/marcosmapl/dataset_imigrantes/main/noticias_filtered/a_critica/venezuelanos/2019/09_out/html/1.57337_1185.html", "HTML")</f>
        <v/>
      </c>
      <c r="L1286">
        <f>HYPERLINK("https://raw.githubusercontent.com/marcosmapl/dataset_imigrantes/main/noticias_filtered/a_critica/venezuelanos/2019/09_out/txt/1.57337_1185.txt", "TXT")</f>
        <v/>
      </c>
    </row>
    <row r="1287">
      <c r="A1287" s="1" t="n">
        <v>1285</v>
      </c>
      <c r="B1287" t="n">
        <v>2019</v>
      </c>
      <c r="C1287" s="2" t="n">
        <v>43755.01368055555</v>
      </c>
      <c r="D1287" t="inlineStr">
        <is>
          <t>A CRITICA</t>
        </is>
      </c>
      <c r="E1287" t="inlineStr">
        <is>
          <t>VENEZUELANOS</t>
        </is>
      </c>
      <c r="F1287" t="inlineStr">
        <is>
          <t>MANAUS</t>
        </is>
      </c>
      <c r="G1287" t="inlineStr">
        <is>
          <t>PORTAL A CRÍTICA</t>
        </is>
      </c>
      <c r="H1287" t="inlineStr">
        <is>
          <t>PARTE DE OSSADA HUMANA É ENCONTRADA NA PRAIA DA PONTA NEGRA</t>
        </is>
      </c>
      <c r="I1287" t="inlineStr">
        <is>
          <t>SUSPEITA É QUE SEJA O RASTANTE DE UMA OSSADA ENCONTRADA NO MESMO LOCAL NO DIA 7 DESTE MÊS, QUE PODE SER DO ESTUDANTE RAYNER VINICIUS DA SILVA GONÇALVES, DE 15 ANOS, DESAPARECIDO EM 2018</t>
        </is>
      </c>
      <c r="J1287">
        <f>HYPERLINK("https://www.acritica.com/manaus/parte-de-ossada-humana-e-encontrada-na-praia-da-ponta-negra-1.57371", "URL")</f>
        <v/>
      </c>
      <c r="K1287">
        <f>HYPERLINK("https://raw.githubusercontent.com/marcosmapl/dataset_imigrantes/main/noticias_filtered/a_critica/venezuelanos/2019/09_out/html/1.57371_849.html", "HTML")</f>
        <v/>
      </c>
      <c r="L1287">
        <f>HYPERLINK("https://raw.githubusercontent.com/marcosmapl/dataset_imigrantes/main/noticias_filtered/a_critica/venezuelanos/2019/09_out/txt/1.57371_849.txt", "TXT")</f>
        <v/>
      </c>
    </row>
    <row r="1288">
      <c r="A1288" s="1" t="n">
        <v>1286</v>
      </c>
      <c r="B1288" t="n">
        <v>2019</v>
      </c>
      <c r="C1288" s="2" t="n">
        <v>43754.92391069444</v>
      </c>
      <c r="D1288" t="inlineStr">
        <is>
          <t>G1</t>
        </is>
      </c>
      <c r="E1288" t="inlineStr">
        <is>
          <t>HAITIANOS</t>
        </is>
      </c>
      <c r="F1288" t="inlineStr">
        <is>
          <t>SÃO CARLOS E ARARAQUARA</t>
        </is>
      </c>
      <c r="G1288" t="inlineStr">
        <is>
          <t>EPTV2</t>
        </is>
      </c>
      <c r="H1288" t="inlineStr">
        <is>
          <t>BEBÊ RECÉM-NASCIDA EM RIO CLARO ESPERA HÁ MAIS DE 1 MÊS POR CIRURGIA URGENTE NO CORAÇÃO</t>
        </is>
      </c>
      <c r="I1288" t="inlineStr">
        <is>
          <t>JUSTIÇA DETERMINOU PELA SEGUNDA VEZ QUE O ESTADO FAÇA A OPERAÇÃO SOB MULTA DIÁRIA DE R$ 100 MIL EM CASO DE DESCUMPRIMENTO.</t>
        </is>
      </c>
      <c r="J1288">
        <f>HYPERLINK("https://g1.globo.com/sp/sao-carlos-regiao/noticia/2019/10/16/bebe-recem-nascida-em-rio-claro-espera-ha-mais-de-1-mes-por-cirurgia-urgente-no-coracao.ghtml", "URL")</f>
        <v/>
      </c>
      <c r="K1288">
        <f>HYPERLINK("https://raw.githubusercontent.com/marcosmapl/dataset_imigrantes/main/noticias_filtered/g1/haitianos/2019/09_out/html/g1_2f1cc138-2312-11ed-b24f-6dbe51e79fca_2954.html", "HTML")</f>
        <v/>
      </c>
      <c r="L1288">
        <f>HYPERLINK("https://raw.githubusercontent.com/marcosmapl/dataset_imigrantes/main/noticias_filtered/g1/haitianos/2019/09_out/txt/g1_2f1cc138-2312-11ed-b24f-6dbe51e79fca_2954.txt", "TXT")</f>
        <v/>
      </c>
    </row>
    <row r="1289">
      <c r="A1289" s="1" t="n">
        <v>1287</v>
      </c>
      <c r="B1289" t="n">
        <v>2019</v>
      </c>
      <c r="C1289" s="2" t="n">
        <v>43753.96847099537</v>
      </c>
      <c r="D1289" t="inlineStr">
        <is>
          <t>G1</t>
        </is>
      </c>
      <c r="E1289" t="inlineStr">
        <is>
          <t>HAITIANOS</t>
        </is>
      </c>
      <c r="F1289" t="inlineStr">
        <is>
          <t>MUNDO</t>
        </is>
      </c>
      <c r="G1289" t="inlineStr">
        <is>
          <t>REUTERS</t>
        </is>
      </c>
      <c r="H1289" t="inlineStr">
        <is>
          <t>APÓS 15 ANOS, MISSÃO DE PAZ DA ONU NO HAITI TERMINA COM LEGADO MISTO</t>
        </is>
      </c>
      <c r="I1289" t="inlineStr">
        <is>
          <t>MISSÃO TEVE INÍCIO EM 2004, PARA RESTAURAR ORDEM APÓS REBELIÃO DERRUBAR O ENTÃO PRESIDENTE, JEAN-BERTRAND ARISTIDE, E CHEGOU A SER CHEFIADA PELO BRASIL. CRÍTICOS QUESTIONAM ATÉ QUE PONTO OBJETIVOS FORAM ALCANÇADOS, COM PAÍS ENFRENTANDO VIOLENTOS PROTESTOS HÁ CINCO SEMANAS.</t>
        </is>
      </c>
      <c r="J1289">
        <f>HYPERLINK("https://g1.globo.com/mundo/noticia/2019/10/15/apos-15-anos-missao-de-paz-da-onu-no-haiti-termina-com-legado-misto.ghtml", "URL")</f>
        <v/>
      </c>
      <c r="K1289">
        <f>HYPERLINK("https://raw.githubusercontent.com/marcosmapl/dataset_imigrantes/main/noticias_filtered/g1/haitianos/2019/09_out/html/g1_2d156a54-230b-11ed-b24f-6dbe51e79fca_2549.html", "HTML")</f>
        <v/>
      </c>
      <c r="L1289">
        <f>HYPERLINK("https://raw.githubusercontent.com/marcosmapl/dataset_imigrantes/main/noticias_filtered/g1/haitianos/2019/09_out/txt/g1_2d156a54-230b-11ed-b24f-6dbe51e79fca_2549.txt", "TXT")</f>
        <v/>
      </c>
    </row>
    <row r="1290">
      <c r="A1290" s="1" t="n">
        <v>1288</v>
      </c>
      <c r="B1290" t="n">
        <v>2019</v>
      </c>
      <c r="C1290" s="2" t="n">
        <v>43752.60897528935</v>
      </c>
      <c r="D1290" t="inlineStr">
        <is>
          <t>G1</t>
        </is>
      </c>
      <c r="E1290" t="inlineStr">
        <is>
          <t>VENEZUELANOS</t>
        </is>
      </c>
      <c r="F1290" t="inlineStr">
        <is>
          <t>RORAIMA</t>
        </is>
      </c>
      <c r="G1290" t="inlineStr">
        <is>
          <t>EMILY COSTA, G1 RR — BOA VISTA</t>
        </is>
      </c>
      <c r="H1290" t="inlineStr">
        <is>
          <t>JUSTIÇA DECRETA PRISÃO DE 30 SUSPEITOS DE INTEGRAR FACÇÃO VENEZUELANA EM RR</t>
        </is>
      </c>
      <c r="I1290" t="inlineStr">
        <is>
          <t>SEGUNDO INVESTIGAÇÃO, GRUPO DE VENEZUELANOS SE UNIU À ORGANIZAÇÃO CRIMINOSA DO BRASIL PARA COMETER CRIMES EM PACARAIMA, NA FRONTEIRA COM A VENEZUELA.</t>
        </is>
      </c>
      <c r="J1290">
        <f>HYPERLINK("https://g1.globo.com/rr/roraima/noticia/2019/10/14/justica-decreta-prisao-de-30-suspeitos-de-integrar-faccao-venezuelana-em-rr.ghtml", "URL")</f>
        <v/>
      </c>
      <c r="K1290">
        <f>HYPERLINK("https://raw.githubusercontent.com/marcosmapl/dataset_imigrantes/main/noticias_filtered/g1/venezuelanos/2019/09_out/html/g1_8d130960-2325-11ed-b24f-6dbe51e79fca_3921.html", "HTML")</f>
        <v/>
      </c>
      <c r="L1290">
        <f>HYPERLINK("https://raw.githubusercontent.com/marcosmapl/dataset_imigrantes/main/noticias_filtered/g1/venezuelanos/2019/09_out/txt/g1_8d130960-2325-11ed-b24f-6dbe51e79fca_3921.txt", "TXT")</f>
        <v/>
      </c>
    </row>
    <row r="1291">
      <c r="A1291" s="1" t="n">
        <v>1289</v>
      </c>
      <c r="B1291" t="n">
        <v>2019</v>
      </c>
      <c r="C1291" s="2" t="n">
        <v>43752.48819444444</v>
      </c>
      <c r="D1291" t="inlineStr">
        <is>
          <t>A CRITICA</t>
        </is>
      </c>
      <c r="E1291" t="inlineStr">
        <is>
          <t>VENEZUELANOS</t>
        </is>
      </c>
      <c r="F1291" t="inlineStr"/>
      <c r="G1291" t="inlineStr">
        <is>
          <t>REUTERS</t>
        </is>
      </c>
      <c r="H1291" t="inlineStr">
        <is>
          <t>GOVERNO INVESTIGA NAVIOS PARA DESVENDAR VAZAMENTO DE PETRÓLEO NO NORDESTE</t>
        </is>
      </c>
      <c r="I1291" t="inlineStr">
        <is>
          <t>'ESTAMOS INVESTIGANDO OS NAVIOS E AS BANDEIRAS, E SE ACONTECEU ISSO, QUE TEM GRANDE POSSIBILIDADE, SE TORNA CRIME AMBIENTAL PORQUE O NAVIO NÃO INFORMOU O POSSÍVEL VAZAMENTO', AFIRMOU O MINISTÉRIO DA DEFESA</t>
        </is>
      </c>
      <c r="J1291">
        <f>HYPERLINK("https://www.acritica.com/governo-investiga-navios-para-desvendar-vazamento-de-petroleo-no-nordeste-1.57508", "URL")</f>
        <v/>
      </c>
      <c r="K1291">
        <f>HYPERLINK("https://raw.githubusercontent.com/marcosmapl/dataset_imigrantes/main/noticias_filtered/a_critica/venezuelanos/2019/09_out/html/1.57508_827.html", "HTML")</f>
        <v/>
      </c>
      <c r="L1291">
        <f>HYPERLINK("https://raw.githubusercontent.com/marcosmapl/dataset_imigrantes/main/noticias_filtered/a_critica/venezuelanos/2019/09_out/txt/1.57508_827.txt", "TXT")</f>
        <v/>
      </c>
    </row>
    <row r="1292">
      <c r="A1292" s="1" t="n">
        <v>1290</v>
      </c>
      <c r="B1292" t="n">
        <v>2019</v>
      </c>
      <c r="C1292" s="2" t="n">
        <v>43751.5202199074</v>
      </c>
      <c r="D1292" t="inlineStr">
        <is>
          <t>A CRITICA</t>
        </is>
      </c>
      <c r="E1292" t="inlineStr">
        <is>
          <t>VENEZUELANOS</t>
        </is>
      </c>
      <c r="F1292" t="inlineStr">
        <is>
          <t>OPINIAO</t>
        </is>
      </c>
      <c r="G1292" t="inlineStr"/>
      <c r="H1292" t="inlineStr">
        <is>
          <t>CRIANÇA PRECISA DE ATENÇÃO</t>
        </is>
      </c>
      <c r="I1292" t="inlineStr"/>
      <c r="J1292">
        <f>HYPERLINK("https://www.acritica.com/opiniao/crianca-precisa-de-atenc-o-1.227506", "URL")</f>
        <v/>
      </c>
      <c r="K1292">
        <f>HYPERLINK("https://raw.githubusercontent.com/marcosmapl/dataset_imigrantes/main/noticias_filtered/a_critica/venezuelanos/2019/09_out/html/1.227506_868.html", "HTML")</f>
        <v/>
      </c>
      <c r="L1292">
        <f>HYPERLINK("https://raw.githubusercontent.com/marcosmapl/dataset_imigrantes/main/noticias_filtered/a_critica/venezuelanos/2019/09_out/txt/1.227506_868.txt", "TXT")</f>
        <v/>
      </c>
    </row>
    <row r="1293">
      <c r="A1293" s="1" t="n">
        <v>1291</v>
      </c>
      <c r="B1293" t="n">
        <v>2019</v>
      </c>
      <c r="C1293" s="2" t="n">
        <v>43750.72006944445</v>
      </c>
      <c r="D1293" t="inlineStr">
        <is>
          <t>A CRITICA</t>
        </is>
      </c>
      <c r="E1293" t="inlineStr">
        <is>
          <t>VENEZUELANOS</t>
        </is>
      </c>
      <c r="F1293" t="inlineStr"/>
      <c r="G1293" t="inlineStr">
        <is>
          <t>AGÊNCIA BRASIL</t>
        </is>
      </c>
      <c r="H1293" t="inlineStr">
        <is>
          <t>INFÂNCIA REFUGIADA: 10 MIL CRIANÇAS VENEZUELANAS JÁ ENTRARAM NO BRASIL</t>
        </is>
      </c>
      <c r="I1293" t="inlineStr">
        <is>
          <t>AS CRIANÇAS SÃO UMA PREOCUPAÇÃO AINDA MAIOR NO CONTEXTO DA MIGRAÇÃO, JÁ QUE DIREITOS MUITO BÁSICOS COMO A ALIMENTAÇÃO ADEQUADA FICAM COMPROMETIDOS.</t>
        </is>
      </c>
      <c r="J1293">
        <f>HYPERLINK("https://www.acritica.com/infancia-refugiada-10-mil-criancas-venezuelanas-ja-entraram-no-brasil-1.56816", "URL")</f>
        <v/>
      </c>
      <c r="K1293">
        <f>HYPERLINK("https://raw.githubusercontent.com/marcosmapl/dataset_imigrantes/main/noticias_filtered/a_critica/venezuelanos/2019/09_out/html/1.56816_767.html", "HTML")</f>
        <v/>
      </c>
      <c r="L1293">
        <f>HYPERLINK("https://raw.githubusercontent.com/marcosmapl/dataset_imigrantes/main/noticias_filtered/a_critica/venezuelanos/2019/09_out/txt/1.56816_767.txt", "TXT")</f>
        <v/>
      </c>
    </row>
    <row r="1294">
      <c r="A1294" s="1" t="n">
        <v>1292</v>
      </c>
      <c r="B1294" t="n">
        <v>2019</v>
      </c>
      <c r="C1294" s="2" t="n">
        <v>43750.51989583333</v>
      </c>
      <c r="D1294" t="inlineStr">
        <is>
          <t>A CRITICA</t>
        </is>
      </c>
      <c r="E1294" t="inlineStr">
        <is>
          <t>VENEZUELANOS</t>
        </is>
      </c>
      <c r="F1294" t="inlineStr"/>
      <c r="G1294" t="inlineStr">
        <is>
          <t>AGÊNCIA BRASIL</t>
        </is>
      </c>
      <c r="H1294" t="inlineStr">
        <is>
          <t>AO MENOS 10 MIL CRIANÇAS VENEZUELANAS JÁ ENTRARAM NO BRASIL</t>
        </is>
      </c>
      <c r="I1294" t="inlineStr">
        <is>
          <t>NÚMEROS DO FUNDO DAS NAÇÕES UNIDAS PARA A INFÂNCIA (UNICEF) CONSIDERAM O PERÍODO DE 2015 A 2019. O NÚMERO É UMA PROJEÇÃO, JÁ QUE NÃO HÁ UM DADO OFICIAL</t>
        </is>
      </c>
      <c r="J1294">
        <f>HYPERLINK("https://www.acritica.com/ao-menos-10-mil-criancas-venezuelanas-ja-entraram-no-brasil-1.56828", "URL")</f>
        <v/>
      </c>
      <c r="K1294">
        <f>HYPERLINK("https://raw.githubusercontent.com/marcosmapl/dataset_imigrantes/main/noticias_filtered/a_critica/venezuelanos/2019/09_out/html/1.56828_917.html", "HTML")</f>
        <v/>
      </c>
      <c r="L1294">
        <f>HYPERLINK("https://raw.githubusercontent.com/marcosmapl/dataset_imigrantes/main/noticias_filtered/a_critica/venezuelanos/2019/09_out/txt/1.56828_917.txt", "TXT")</f>
        <v/>
      </c>
    </row>
    <row r="1295">
      <c r="A1295" s="1" t="n">
        <v>1293</v>
      </c>
      <c r="B1295" t="n">
        <v>2019</v>
      </c>
      <c r="C1295" s="2" t="n">
        <v>43750.50357638889</v>
      </c>
      <c r="D1295" t="inlineStr">
        <is>
          <t>A CRITICA</t>
        </is>
      </c>
      <c r="E1295" t="inlineStr">
        <is>
          <t>VENEZUELANOS</t>
        </is>
      </c>
      <c r="F1295" t="inlineStr">
        <is>
          <t>OPINIAO</t>
        </is>
      </c>
      <c r="G1295" t="inlineStr"/>
      <c r="H1295" t="inlineStr">
        <is>
          <t>PEQUENOS INVISIVEIS</t>
        </is>
      </c>
      <c r="I1295" t="inlineStr"/>
      <c r="J1295">
        <f>HYPERLINK("https://www.acritica.com/opiniao/pequenos-invisiveis-1.227512", "URL")</f>
        <v/>
      </c>
      <c r="K1295">
        <f>HYPERLINK("https://raw.githubusercontent.com/marcosmapl/dataset_imigrantes/main/noticias_filtered/a_critica/venezuelanos/2019/09_out/html/1.227512_1305.html", "HTML")</f>
        <v/>
      </c>
      <c r="L1295">
        <f>HYPERLINK("https://raw.githubusercontent.com/marcosmapl/dataset_imigrantes/main/noticias_filtered/a_critica/venezuelanos/2019/09_out/txt/1.227512_1305.txt", "TXT")</f>
        <v/>
      </c>
    </row>
    <row r="1296">
      <c r="A1296" s="1" t="n">
        <v>1294</v>
      </c>
      <c r="B1296" t="n">
        <v>2019</v>
      </c>
      <c r="C1296" s="2" t="n">
        <v>43750.03680555556</v>
      </c>
      <c r="D1296" t="inlineStr">
        <is>
          <t>A CRITICA</t>
        </is>
      </c>
      <c r="E1296" t="inlineStr">
        <is>
          <t>VENEZUELANOS</t>
        </is>
      </c>
      <c r="F1296" t="inlineStr">
        <is>
          <t>MANAUS</t>
        </is>
      </c>
      <c r="G1296" t="inlineStr">
        <is>
          <t>WAL LIMA</t>
        </is>
      </c>
      <c r="H1296" t="inlineStr">
        <is>
          <t>SEM COMEMORAÇÃO, CRIANÇAS VENEZUELANAS PASSAM DATA ENTRE SEMÁFOROS DE MANAUS</t>
        </is>
      </c>
      <c r="I1296" t="inlineStr">
        <is>
          <t>NA DATA EM QUE OS PEQUENOS SÃO CELEBRADOS, MILHARES DE MENINAS E MENINOS REFUGIADOS LUTAM POR COMIDA, REMÉDIOS E DIREITOS BÁSICOS COMO EDUCAÇÃO</t>
        </is>
      </c>
      <c r="J1296">
        <f>HYPERLINK("https://www.acritica.com/manaus/sem-comemorac-o-criancas-venezuelanas-passam-data-entre-semaforos-de-manaus-1.56842", "URL")</f>
        <v/>
      </c>
      <c r="K1296">
        <f>HYPERLINK("https://raw.githubusercontent.com/marcosmapl/dataset_imigrantes/main/noticias_filtered/a_critica/venezuelanos/2019/09_out/html/1.56842_1124.html", "HTML")</f>
        <v/>
      </c>
      <c r="L1296">
        <f>HYPERLINK("https://raw.githubusercontent.com/marcosmapl/dataset_imigrantes/main/noticias_filtered/a_critica/venezuelanos/2019/09_out/txt/1.56842_1124.txt", "TXT")</f>
        <v/>
      </c>
    </row>
    <row r="1297">
      <c r="A1297" s="1" t="n">
        <v>1295</v>
      </c>
      <c r="B1297" t="n">
        <v>2019</v>
      </c>
      <c r="C1297" s="2" t="n">
        <v>43749.88486111111</v>
      </c>
      <c r="D1297" t="inlineStr">
        <is>
          <t>A CRITICA</t>
        </is>
      </c>
      <c r="E1297" t="inlineStr">
        <is>
          <t>VENEZUELANOS</t>
        </is>
      </c>
      <c r="F1297" t="inlineStr">
        <is>
          <t>MANAUS</t>
        </is>
      </c>
      <c r="G1297" t="inlineStr">
        <is>
          <t>PORTAL A CRÍTICA</t>
        </is>
      </c>
      <c r="H1297" t="inlineStr">
        <is>
          <t>CRIANÇAS VENEZUELANAS PARTICIPAM DE FESTA CIRCENSE NO ABRIGO COROADO</t>
        </is>
      </c>
      <c r="I1297" t="inlineStr">
        <is>
          <t>AÇÃO DE DIA DAS CRIANÇAS DA SEAS LEVOU BRINCADEIRAS, MÚSICAS, DOCES E DIVERSÃO PARA AS QUASE 70 CRIANÇAS VENEZUELANAS ABRIGADAS NO LOCAL</t>
        </is>
      </c>
      <c r="J1297">
        <f>HYPERLINK("https://www.acritica.com/manaus/criancas-venezuelanas-participam-de-festa-circense-no-abrigo-coroado-1.57553", "URL")</f>
        <v/>
      </c>
      <c r="K1297">
        <f>HYPERLINK("https://raw.githubusercontent.com/marcosmapl/dataset_imigrantes/main/noticias_filtered/a_critica/venezuelanos/2019/09_out/html/1.57553_578.html", "HTML")</f>
        <v/>
      </c>
      <c r="L1297">
        <f>HYPERLINK("https://raw.githubusercontent.com/marcosmapl/dataset_imigrantes/main/noticias_filtered/a_critica/venezuelanos/2019/09_out/txt/1.57553_578.txt", "TXT")</f>
        <v/>
      </c>
    </row>
    <row r="1298">
      <c r="A1298" s="1" t="n">
        <v>1296</v>
      </c>
      <c r="B1298" t="n">
        <v>2019</v>
      </c>
      <c r="C1298" s="2" t="n">
        <v>43749.73611111111</v>
      </c>
      <c r="D1298" t="inlineStr">
        <is>
          <t>A CRITICA</t>
        </is>
      </c>
      <c r="E1298" t="inlineStr">
        <is>
          <t>VENEZUELANOS</t>
        </is>
      </c>
      <c r="F1298" t="inlineStr">
        <is>
          <t>MANAUS</t>
        </is>
      </c>
      <c r="G1298" t="inlineStr">
        <is>
          <t>PORTAL A CRÍTICA</t>
        </is>
      </c>
      <c r="H1298" t="inlineStr">
        <is>
          <t>JAPÃO VAI DOAR R$ 445 MIL PARA ABRIGO DE REFUGIADOS VENEZUELANOS DE MANAUS</t>
        </is>
      </c>
      <c r="I1298" t="inlineStr">
        <is>
          <t>VALOR SERÁ DIRETAMENTE REVERTIDO NA AMPLIAÇÃO E MELHORIA DA CASA DO IMIGRANTE. NO ÚLTIMO ANO, MAIS DE 850 REFUGIADOS VENEZUELANOS PASSARAM PELO LOCAL</t>
        </is>
      </c>
      <c r="J1298">
        <f>HYPERLINK("https://www.acritica.com/manaus/jap-o-vai-doar-r-445-mil-para-abrigo-de-refugiados-venezuelanos-de-manaus-1.57584", "URL")</f>
        <v/>
      </c>
      <c r="K1298">
        <f>HYPERLINK("https://raw.githubusercontent.com/marcosmapl/dataset_imigrantes/main/noticias_filtered/a_critica/venezuelanos/2019/09_out/html/1.57584_364.html", "HTML")</f>
        <v/>
      </c>
      <c r="L1298">
        <f>HYPERLINK("https://raw.githubusercontent.com/marcosmapl/dataset_imigrantes/main/noticias_filtered/a_critica/venezuelanos/2019/09_out/txt/1.57584_364.txt", "TXT")</f>
        <v/>
      </c>
    </row>
    <row r="1299">
      <c r="A1299" s="1" t="n">
        <v>1297</v>
      </c>
      <c r="B1299" t="n">
        <v>2019</v>
      </c>
      <c r="C1299" s="2" t="n">
        <v>43749.60786524306</v>
      </c>
      <c r="D1299" t="inlineStr">
        <is>
          <t>G1</t>
        </is>
      </c>
      <c r="E1299" t="inlineStr">
        <is>
          <t>HAITIANOS</t>
        </is>
      </c>
      <c r="F1299" t="inlineStr">
        <is>
          <t>DISTRITO FEDERAL</t>
        </is>
      </c>
      <c r="G1299" t="inlineStr">
        <is>
          <t>G1 DF</t>
        </is>
      </c>
      <c r="H1299" t="inlineStr">
        <is>
          <t>HAITIANO É PRESO PELA SEGUNDA VEZ POR VENDA ILEGAL DE PASSAGENS EM BRASÍLIA</t>
        </is>
      </c>
      <c r="I1299" t="inlineStr">
        <is>
          <t>HOMEM DE 43 ANOS FOI DETIDO COM DOIS CARTÕES E R$ 1 MIL EM DINHEIRO, SEGUNDO POLÍCIA. OPERAÇÃO CARTÃO VERMELHO QUER COIBIR PRÁTICA NA RODOVIÁRIA DO PLANO PILOTO.</t>
        </is>
      </c>
      <c r="J1299">
        <f>HYPERLINK("https://g1.globo.com/df/distrito-federal/noticia/2019/10/11/haitiano-e-preso-pela-segunda-vez-por-venda-ilegal-de-passagens-em-brasilia.ghtml", "URL")</f>
        <v/>
      </c>
      <c r="K1299">
        <f>HYPERLINK("https://raw.githubusercontent.com/marcosmapl/dataset_imigrantes/main/noticias_filtered/g1/haitianos/2019/09_out/html/g1_a9b0ccbc-22f1-11ed-b24f-6dbe51e79fca_1760.html", "HTML")</f>
        <v/>
      </c>
      <c r="L1299">
        <f>HYPERLINK("https://raw.githubusercontent.com/marcosmapl/dataset_imigrantes/main/noticias_filtered/g1/haitianos/2019/09_out/txt/g1_a9b0ccbc-22f1-11ed-b24f-6dbe51e79fca_1760.txt", "TXT")</f>
        <v/>
      </c>
    </row>
    <row r="1300">
      <c r="A1300" s="1" t="n">
        <v>1298</v>
      </c>
      <c r="B1300" t="n">
        <v>2019</v>
      </c>
      <c r="C1300" s="2" t="n">
        <v>43749.50795431713</v>
      </c>
      <c r="D1300" t="inlineStr">
        <is>
          <t>G1</t>
        </is>
      </c>
      <c r="E1300" t="inlineStr">
        <is>
          <t>AMBOS</t>
        </is>
      </c>
      <c r="F1300" t="inlineStr">
        <is>
          <t>MATO GROSSO</t>
        </is>
      </c>
      <c r="G1300" t="inlineStr">
        <is>
          <t>G1 MT</t>
        </is>
      </c>
      <c r="H1300" t="inlineStr">
        <is>
          <t>PESQUISA DE ALUNOS DO IFMT IDENTIFICA 25 LÍNGUAS FALADAS PELA POPULAÇÃO CUIABANA</t>
        </is>
      </c>
      <c r="I1300" t="inlineStr">
        <is>
          <t>"MAPA DAS LÍNGUAS FALADAS NA CIDADE DE CUIABÁ" ESTÁ SENDO CONCLUÍDO A PARTIR DESSE LEVANTAMENTO DE CINCO ESTUDANTES DO IFMT. ELES DECIDIRAM FAZER O TRABALHO PARA RESPONDER UMA PERGUNTA FREQUENTE EM SALA DE AULA: "QUANTAS LÍNGUAS FALAMOS EM CUIABÁ?".</t>
        </is>
      </c>
      <c r="J1300">
        <f>HYPERLINK("https://g1.globo.com/mt/mato-grosso/noticia/2019/10/11/pesquisa-de-alunos-do-ifmt-identifica-25-linguas-faladas-pela-populacao-cuiabana.ghtml", "URL")</f>
        <v/>
      </c>
      <c r="K1300">
        <f>HYPERLINK("https://raw.githubusercontent.com/marcosmapl/dataset_imigrantes/main/noticias_filtered/g1/ambos/2019/09_out/html/g1_43e0d8fe-231f-11ed-b24f-6dbe51e79fca_3612.html", "HTML")</f>
        <v/>
      </c>
      <c r="L1300">
        <f>HYPERLINK("https://raw.githubusercontent.com/marcosmapl/dataset_imigrantes/main/noticias_filtered/g1/ambos/2019/09_out/txt/g1_43e0d8fe-231f-11ed-b24f-6dbe51e79fca_3612.txt", "TXT")</f>
        <v/>
      </c>
    </row>
    <row r="1301">
      <c r="A1301" s="1" t="n">
        <v>1299</v>
      </c>
      <c r="B1301" t="n">
        <v>2019</v>
      </c>
      <c r="C1301" s="2" t="n">
        <v>43748.65948214121</v>
      </c>
      <c r="D1301" t="inlineStr">
        <is>
          <t>G1</t>
        </is>
      </c>
      <c r="E1301" t="inlineStr">
        <is>
          <t>VENEZUELANOS</t>
        </is>
      </c>
      <c r="F1301" t="inlineStr">
        <is>
          <t>FATO OU FAKE</t>
        </is>
      </c>
      <c r="G1301" t="inlineStr">
        <is>
          <t>G1</t>
        </is>
      </c>
      <c r="H1301" t="inlineStr">
        <is>
          <t>É #FAKE QUE VÍDEO MOSTRE NAVIO VENEZUELANO JOGANDO ÓLEO NO MAR NO NORDESTE</t>
        </is>
      </c>
      <c r="I1301" t="inlineStr">
        <is>
          <t>MENSAGEM COM CONTEÚDO FALSO CIRCULA EM REDES SOCIAIS APÓS MANCHAS DE ÓLEO ATINGIREM PRAIAS DO BRASIL. VÍDEO MOSTRA, NA VERDADE, PROCEDIMENTO DE DRAGAGEM EM PORTUGAL.</t>
        </is>
      </c>
      <c r="J1301">
        <f>HYPERLINK("https://g1.globo.com/fato-ou-fake/noticia/2019/10/10/e-fake-que-video-mostre-navio-venezuelano-jogando-oleo-no-mar-no-nordeste.ghtml", "URL")</f>
        <v/>
      </c>
      <c r="K1301">
        <f>HYPERLINK("https://raw.githubusercontent.com/marcosmapl/dataset_imigrantes/main/noticias_filtered/g1/venezuelanos/2019/09_out/html/g1_92378e6a-232b-11ed-b24f-6dbe51e79fca_4256.html", "HTML")</f>
        <v/>
      </c>
      <c r="L1301">
        <f>HYPERLINK("https://raw.githubusercontent.com/marcosmapl/dataset_imigrantes/main/noticias_filtered/g1/venezuelanos/2019/09_out/txt/g1_92378e6a-232b-11ed-b24f-6dbe51e79fca_4256.txt", "TXT")</f>
        <v/>
      </c>
    </row>
    <row r="1302">
      <c r="A1302" s="1" t="n">
        <v>1300</v>
      </c>
      <c r="B1302" t="n">
        <v>2019</v>
      </c>
      <c r="C1302" s="2" t="n">
        <v>43748.41944444444</v>
      </c>
      <c r="D1302" t="inlineStr">
        <is>
          <t>A CRITICA</t>
        </is>
      </c>
      <c r="E1302" t="inlineStr">
        <is>
          <t>VENEZUELANOS</t>
        </is>
      </c>
      <c r="F1302" t="inlineStr">
        <is>
          <t>MANAUS</t>
        </is>
      </c>
      <c r="G1302" t="inlineStr">
        <is>
          <t>JOHNY VASCONCELOS</t>
        </is>
      </c>
      <c r="H1302" t="inlineStr">
        <is>
          <t>MÃE DE JOVEM DESAPARECIDO RELEMBRA CASO APÓS RECONHECER ROUPA DE FILHO EM OSSADA</t>
        </is>
      </c>
      <c r="I1302" t="inlineStr">
        <is>
          <t>'MEU FILHO ESPERAVA QUE EU FOSSE VARRER ESSE MUNDO ATÉ ENCONTRAR ELE, E ENCONTREI', DISSE A MÃE DO ADOLESCENTE RAYNER VINICIUS DA SILVA GONÇALVES, DE 15 ANOS, QUE DESAPARECEU APÓS IR CORRER NA PONTA NEGRA. CASO AINDA É UM MISTÉRIO</t>
        </is>
      </c>
      <c r="J1302">
        <f>HYPERLINK("https://www.acritica.com/manaus/m-e-de-jovem-desaparecido-relembra-caso-apos-reconhecer-roupa-de-filho-em-ossada-1.56889", "URL")</f>
        <v/>
      </c>
      <c r="K1302">
        <f>HYPERLINK("https://raw.githubusercontent.com/marcosmapl/dataset_imigrantes/main/noticias_filtered/a_critica/venezuelanos/2019/09_out/html/1.56889_217.html", "HTML")</f>
        <v/>
      </c>
      <c r="L1302">
        <f>HYPERLINK("https://raw.githubusercontent.com/marcosmapl/dataset_imigrantes/main/noticias_filtered/a_critica/venezuelanos/2019/09_out/txt/1.56889_217.txt", "TXT")</f>
        <v/>
      </c>
    </row>
    <row r="1303">
      <c r="A1303" s="1" t="n">
        <v>1301</v>
      </c>
      <c r="B1303" t="n">
        <v>2019</v>
      </c>
      <c r="C1303" s="2" t="n">
        <v>43747.63516203704</v>
      </c>
      <c r="D1303" t="inlineStr">
        <is>
          <t>A CRITICA</t>
        </is>
      </c>
      <c r="E1303" t="inlineStr">
        <is>
          <t>VENEZUELANOS</t>
        </is>
      </c>
      <c r="F1303" t="inlineStr"/>
      <c r="G1303" t="inlineStr">
        <is>
          <t>REUTERS</t>
        </is>
      </c>
      <c r="H1303" t="inlineStr">
        <is>
          <t>PETRÓLEO EM PRAIAS DO NORDESTE 'MUITO PROVAVELMENTE' É DA VENEZUELA, DIZ SALLES</t>
        </is>
      </c>
      <c r="I1303" t="inlineStr">
        <is>
          <t>O MINISTRO DO MEIO AMBIENTE ADMITIU QUE HÁ 'ENORME DIFICULDADE DE CONTER' AS MANCHAS DE ÓLEO, MAS RESSALTOU QUE NÃO SE TRATA DE UMA 'INAÇÃO DOS ÓRGÃOS PÚBLICOS'</t>
        </is>
      </c>
      <c r="J1303">
        <f>HYPERLINK("https://www.acritica.com/petroleo-em-praias-do-nordeste-muito-provavelmente-e-da-venezuela-diz-salles-1.56941", "URL")</f>
        <v/>
      </c>
      <c r="K1303">
        <f>HYPERLINK("https://raw.githubusercontent.com/marcosmapl/dataset_imigrantes/main/noticias_filtered/a_critica/venezuelanos/2019/09_out/html/1.56941_1217.html", "HTML")</f>
        <v/>
      </c>
      <c r="L1303">
        <f>HYPERLINK("https://raw.githubusercontent.com/marcosmapl/dataset_imigrantes/main/noticias_filtered/a_critica/venezuelanos/2019/09_out/txt/1.56941_1217.txt", "TXT")</f>
        <v/>
      </c>
    </row>
    <row r="1304">
      <c r="A1304" s="1" t="n">
        <v>1302</v>
      </c>
      <c r="B1304" t="n">
        <v>2019</v>
      </c>
      <c r="C1304" s="2" t="n">
        <v>43747.57203692129</v>
      </c>
      <c r="D1304" t="inlineStr">
        <is>
          <t>G1</t>
        </is>
      </c>
      <c r="E1304" t="inlineStr">
        <is>
          <t>VENEZUELANOS</t>
        </is>
      </c>
      <c r="F1304" t="inlineStr">
        <is>
          <t>RORAIMA</t>
        </is>
      </c>
      <c r="G1304" t="inlineStr">
        <is>
          <t>G1 RR — BOA VISTA</t>
        </is>
      </c>
      <c r="H1304" t="inlineStr">
        <is>
          <t>CORPO ACHADO EM CARRINHO DE MÃO EM BOA VISTA É DE ADOLESCENTE VENEZUELANO</t>
        </is>
      </c>
      <c r="I1304" t="inlineStr">
        <is>
          <t>JESUS ALISANDRO SAMERON PEREZ, DE 16 ANOS, FOI DADO COMO DESAPARECIDO NO ÚLTIMO DIA 7. ELE FOI IDENTIFICADO PELO INSTITUTO MÉDICO LEGAL.</t>
        </is>
      </c>
      <c r="J1304">
        <f>HYPERLINK("https://g1.globo.com/rr/roraima/noticia/2019/10/09/corpo-achado-em-carrinho-de-mao-em-boa-vista-e-de-adolescente-venezuelano.ghtml", "URL")</f>
        <v/>
      </c>
      <c r="K1304">
        <f>HYPERLINK("https://raw.githubusercontent.com/marcosmapl/dataset_imigrantes/main/noticias_filtered/g1/venezuelanos/2019/09_out/html/g1_5fe9d94c-2315-11ed-b24f-6dbe51e79fca_3082.html", "HTML")</f>
        <v/>
      </c>
      <c r="L1304">
        <f>HYPERLINK("https://raw.githubusercontent.com/marcosmapl/dataset_imigrantes/main/noticias_filtered/g1/venezuelanos/2019/09_out/txt/g1_5fe9d94c-2315-11ed-b24f-6dbe51e79fca_3082.txt", "TXT")</f>
        <v/>
      </c>
    </row>
    <row r="1305">
      <c r="A1305" s="1" t="n">
        <v>1303</v>
      </c>
      <c r="B1305" t="n">
        <v>2019</v>
      </c>
      <c r="C1305" s="2" t="n">
        <v>43746.98660879629</v>
      </c>
      <c r="D1305" t="inlineStr">
        <is>
          <t>A CRITICA</t>
        </is>
      </c>
      <c r="E1305" t="inlineStr">
        <is>
          <t>VENEZUELANOS</t>
        </is>
      </c>
      <c r="F1305" t="inlineStr">
        <is>
          <t>MANAUS</t>
        </is>
      </c>
      <c r="G1305" t="inlineStr">
        <is>
          <t>JOHNY VASCONCELOS</t>
        </is>
      </c>
      <c r="H1305" t="inlineStr">
        <is>
          <t>OSSADA ENCONTRADA NA PONTA NEGRA PODE SER DE ADOLESCENTE DESAPARECIDO EM 2018</t>
        </is>
      </c>
      <c r="I1305" t="inlineStr">
        <is>
          <t>RAYNER VINÍCIUS, DE 15 ANOS, DESAPARECEU EM DEZEMBRO, QUANDO SAIU DE CASA PARA CAMINHAR NA PRAIA DA PONTA NEGRA. UM EXAME DE DNA SERÁ FEITO PARA IDENTIFICAR SE OS RESTOS MORTAIS SÃO MESMO DO ESTUDANTE</t>
        </is>
      </c>
      <c r="J1305">
        <f>HYPERLINK("https://www.acritica.com/manaus/ossada-encontrada-na-ponta-negra-pode-ser-de-adolescente-desaparecido-em-2018-1.57681", "URL")</f>
        <v/>
      </c>
      <c r="K1305">
        <f>HYPERLINK("https://raw.githubusercontent.com/marcosmapl/dataset_imigrantes/main/noticias_filtered/a_critica/venezuelanos/2019/09_out/html/1.57681_451.html", "HTML")</f>
        <v/>
      </c>
      <c r="L1305">
        <f>HYPERLINK("https://raw.githubusercontent.com/marcosmapl/dataset_imigrantes/main/noticias_filtered/a_critica/venezuelanos/2019/09_out/txt/1.57681_451.txt", "TXT")</f>
        <v/>
      </c>
    </row>
    <row r="1306">
      <c r="A1306" s="1" t="n">
        <v>1304</v>
      </c>
      <c r="B1306" t="n">
        <v>2019</v>
      </c>
      <c r="C1306" s="2" t="n">
        <v>43743.66458333333</v>
      </c>
      <c r="D1306" t="inlineStr">
        <is>
          <t>PORTAL AMAZONIA</t>
        </is>
      </c>
      <c r="E1306" t="inlineStr">
        <is>
          <t>AMBOS</t>
        </is>
      </c>
      <c r="F1306" t="inlineStr">
        <is>
          <t>EDUCAÇÃO</t>
        </is>
      </c>
      <c r="G1306" t="inlineStr">
        <is>
          <t>WILLIAM COSTA - WILLIAM.COSTA@PORTALAMAZONIA.COM</t>
        </is>
      </c>
      <c r="H1306" t="inlineStr">
        <is>
          <t>EM MANAUS, ESCOLA MUNICIPAL DÁ VOLTA POR CIMA E SE TORNA EXEMPLO DE TRANSFORMAÇÃO E INCLUSÃO</t>
        </is>
      </c>
      <c r="I1306" t="inlineStr">
        <is>
          <t>UMA ESCOLA DIFERENTE, ONDE ALUNOS, PROFESSORES, TÉCNICOS E A COMUNIDADE SE RELACIONAM DE UMA FORMA EM QUE HÁ COMPREENSÃO, ENTENDIMENTO E DIÁLOGO, E TEM NO ALUNO, O PROTAGONISTA DE TODA A TRANSFORMAÇÃO. A ESCOLA MUNICIPAL PROFESSOR WALDIR GARCIA, QUE</t>
        </is>
      </c>
      <c r="J1306">
        <f>HYPERLINK("https://portalamazonia.com/noticias/educacao/em-manaus-escola-municipal-da-volta-por-cima-e-se-torna-exemplo-de-transformacao-e-inclusao", "URL")</f>
        <v/>
      </c>
      <c r="K1306">
        <f>HYPERLINK("https://raw.githubusercontent.com/marcosmapl/dataset_imigrantes/main/noticias_filtered/portal_amazonia/ambos/2019/09_out/html/21843.61535_1530.html", "HTML")</f>
        <v/>
      </c>
      <c r="L1306">
        <f>HYPERLINK("https://raw.githubusercontent.com/marcosmapl/dataset_imigrantes/main/noticias_filtered/portal_amazonia/ambos/2019/09_out/txt/21843.61535_1530.txt", "TXT")</f>
        <v/>
      </c>
    </row>
    <row r="1307">
      <c r="A1307" s="1" t="n">
        <v>1305</v>
      </c>
      <c r="B1307" t="n">
        <v>2019</v>
      </c>
      <c r="C1307" s="2" t="n">
        <v>43742.90963362269</v>
      </c>
      <c r="D1307" t="inlineStr">
        <is>
          <t>G1</t>
        </is>
      </c>
      <c r="E1307" t="inlineStr">
        <is>
          <t>HAITIANOS</t>
        </is>
      </c>
      <c r="F1307" t="inlineStr">
        <is>
          <t>MUNDO</t>
        </is>
      </c>
      <c r="G1307" t="inlineStr">
        <is>
          <t>G1</t>
        </is>
      </c>
      <c r="H1307" t="inlineStr">
        <is>
          <t>PROTESTOS CONTRA O GOVERNO DO HAITI SE INTENSIFICAM; MANIFESTANTES PEDEM SAÍDA DO PRESIDENTE</t>
        </is>
      </c>
      <c r="I1307" t="inlineStr">
        <is>
          <t>AO MENOS DUAS PESSOAS FORAM BALEADAS NESTA SEXTA-FEIRA, E MANIFESTANTES ACUSAM POLÍCIA DE DISPARAR COM ARMA DE FOGO CONTRA A MULTIDÃO. ITAMARATY EMITE ALERTA A BRASILEIROS NO HAITI.</t>
        </is>
      </c>
      <c r="J1307">
        <f>HYPERLINK("https://g1.globo.com/mundo/noticia/2019/10/04/protestos-contra-o-governo-do-haiti-se-intensificam-manifestantes-pedem-saida-do-presidente.ghtml", "URL")</f>
        <v/>
      </c>
      <c r="K1307">
        <f>HYPERLINK("https://raw.githubusercontent.com/marcosmapl/dataset_imigrantes/main/noticias_filtered/g1/haitianos/2019/09_out/html/g1_1da0e454-231f-11ed-b24f-6dbe51e79fca_3602.html", "HTML")</f>
        <v/>
      </c>
      <c r="L1307">
        <f>HYPERLINK("https://raw.githubusercontent.com/marcosmapl/dataset_imigrantes/main/noticias_filtered/g1/haitianos/2019/09_out/txt/g1_1da0e454-231f-11ed-b24f-6dbe51e79fca_3602.txt", "TXT")</f>
        <v/>
      </c>
    </row>
    <row r="1308">
      <c r="A1308" s="1" t="n">
        <v>1306</v>
      </c>
      <c r="B1308" t="n">
        <v>2019</v>
      </c>
      <c r="C1308" s="2" t="n">
        <v>43741.80852672454</v>
      </c>
      <c r="D1308" t="inlineStr">
        <is>
          <t>G1</t>
        </is>
      </c>
      <c r="E1308" t="inlineStr">
        <is>
          <t>VENEZUELANOS</t>
        </is>
      </c>
      <c r="F1308" t="inlineStr">
        <is>
          <t>RORAIMA</t>
        </is>
      </c>
      <c r="G1308" t="inlineStr">
        <is>
          <t>G1 RR — BOA VISTA</t>
        </is>
      </c>
      <c r="H1308" t="inlineStr">
        <is>
          <t>CAMPANHA ARRECADA BRINQUEDOS, ROUPAS E CALÇADOS PARA CRIANÇAS VENEZUELANAS CARENTES EM RR</t>
        </is>
      </c>
      <c r="I1308" t="inlineStr">
        <is>
          <t>'EU SÓ QUERO LEVAR UM POUCO DE ALEGRIA PARA CRIANÇAS PORQUE AO MEU VER SÃO QUEM MAIS SOFRE', DISSE O IDEALIZADOR DA CAMPANHA, ALEJANDRO ARCAY.</t>
        </is>
      </c>
      <c r="J1308">
        <f>HYPERLINK("https://g1.globo.com/rr/roraima/noticia/2019/10/03/campanha-arrecada-brinquedos-roupas-e-calcados-para-criancas-venezuelanas-carentes-em-rr.ghtml", "URL")</f>
        <v/>
      </c>
      <c r="K1308">
        <f>HYPERLINK("https://raw.githubusercontent.com/marcosmapl/dataset_imigrantes/main/noticias_filtered/g1/venezuelanos/2019/09_out/html/g1_8078824e-2324-11ed-b24f-6dbe51e79fca_3874.html", "HTML")</f>
        <v/>
      </c>
      <c r="L1308">
        <f>HYPERLINK("https://raw.githubusercontent.com/marcosmapl/dataset_imigrantes/main/noticias_filtered/g1/venezuelanos/2019/09_out/txt/g1_8078824e-2324-11ed-b24f-6dbe51e79fca_3874.txt", "TXT")</f>
        <v/>
      </c>
    </row>
    <row r="1309">
      <c r="A1309" s="1" t="n">
        <v>1307</v>
      </c>
      <c r="B1309" t="n">
        <v>2019</v>
      </c>
      <c r="C1309" s="2" t="n">
        <v>43740.80070730324</v>
      </c>
      <c r="D1309" t="inlineStr">
        <is>
          <t>G1</t>
        </is>
      </c>
      <c r="E1309" t="inlineStr">
        <is>
          <t>VENEZUELANOS</t>
        </is>
      </c>
      <c r="F1309" t="inlineStr">
        <is>
          <t>RORAIMA</t>
        </is>
      </c>
      <c r="G1309" t="inlineStr">
        <is>
          <t>G1 RR — BOA VISTA</t>
        </is>
      </c>
      <c r="H1309" t="inlineStr">
        <is>
          <t>FISCALIZAÇÃO APREENDE 44 KG DE QUEIJO CLANDESTINO DA VENEZUELA NA FRONTEIRA EM RR</t>
        </is>
      </c>
      <c r="I1309" t="inlineStr">
        <is>
          <t>CAMINHÃO CONDUZIDO POR UM BRASILEIRO FOI PARADO NA BARREIRA DE FISCALIZAÇÃO EM PACARAIMA.</t>
        </is>
      </c>
      <c r="J1309">
        <f>HYPERLINK("https://g1.globo.com/rr/roraima/noticia/2019/10/02/fiscalizacao-apreende-44-kg-de-queijo-clandestino-da-venezuela-na-fronteira-em-rr.ghtml", "URL")</f>
        <v/>
      </c>
      <c r="K1309">
        <f>HYPERLINK("https://raw.githubusercontent.com/marcosmapl/dataset_imigrantes/main/noticias_filtered/g1/venezuelanos/2019/09_out/html/g1_cc58a1ea-230a-11ed-b24f-6dbe51e79fca_2528.html", "HTML")</f>
        <v/>
      </c>
      <c r="L1309">
        <f>HYPERLINK("https://raw.githubusercontent.com/marcosmapl/dataset_imigrantes/main/noticias_filtered/g1/venezuelanos/2019/09_out/txt/g1_cc58a1ea-230a-11ed-b24f-6dbe51e79fca_2528.txt", "TXT")</f>
        <v/>
      </c>
    </row>
    <row r="1310">
      <c r="A1310" s="1" t="n">
        <v>1308</v>
      </c>
      <c r="B1310" t="n">
        <v>2019</v>
      </c>
      <c r="C1310" s="2" t="n">
        <v>43739.57163449074</v>
      </c>
      <c r="D1310" t="inlineStr">
        <is>
          <t>G1</t>
        </is>
      </c>
      <c r="E1310" t="inlineStr">
        <is>
          <t>AMBOS</t>
        </is>
      </c>
      <c r="F1310" t="inlineStr">
        <is>
          <t>MATO GROSSO</t>
        </is>
      </c>
      <c r="G1310" t="inlineStr">
        <is>
          <t>G1 MT</t>
        </is>
      </c>
      <c r="H1310" t="inlineStr">
        <is>
          <t>CUIABÁ TEM 327 CRIANÇAS IMIGRANTES EM ESCOLAS; MAIORIA É VENEZUELANA E HAITIANA</t>
        </is>
      </c>
      <c r="I1310" t="inlineStr">
        <is>
          <t>NÚMERO DE CRIANÇAS ESTRANGEIRAS MATRICULADAS AUMENTOU CONSIDERAVELMENTE NOS ÚLTIMOS TRÊS ANOS.</t>
        </is>
      </c>
      <c r="J1310">
        <f>HYPERLINK("https://g1.globo.com/mt/mato-grosso/noticia/2019/10/01/cuiaba-tem-327-criancas-imigrantes-em-escolas-maioria-e-venezuelana-e-haitiana.ghtml", "URL")</f>
        <v/>
      </c>
      <c r="K1310">
        <f>HYPERLINK("https://raw.githubusercontent.com/marcosmapl/dataset_imigrantes/main/noticias_filtered/g1/ambos/2019/09_out/html/g1_ab1fdcee-2307-11ed-b24f-6dbe51e79fca_2334.html", "HTML")</f>
        <v/>
      </c>
      <c r="L1310">
        <f>HYPERLINK("https://raw.githubusercontent.com/marcosmapl/dataset_imigrantes/main/noticias_filtered/g1/ambos/2019/09_out/txt/g1_ab1fdcee-2307-11ed-b24f-6dbe51e79fca_2334.txt", "TXT")</f>
        <v/>
      </c>
    </row>
    <row r="1311">
      <c r="A1311" s="1" t="n">
        <v>1309</v>
      </c>
      <c r="B1311" t="n">
        <v>2019</v>
      </c>
      <c r="C1311" s="2" t="n">
        <v>43739.00599046296</v>
      </c>
      <c r="D1311" t="inlineStr">
        <is>
          <t>G1</t>
        </is>
      </c>
      <c r="E1311" t="inlineStr">
        <is>
          <t>HAITIANOS</t>
        </is>
      </c>
      <c r="F1311" t="inlineStr">
        <is>
          <t>MUNDO</t>
        </is>
      </c>
      <c r="G1311" t="inlineStr">
        <is>
          <t>G1</t>
        </is>
      </c>
      <c r="H1311" t="inlineStr">
        <is>
          <t>JORNALISTA É BALEADO EM NOVO DIA DE PROTESTOS NO HAITI, DIZ RÁDIO</t>
        </is>
      </c>
      <c r="I1311" t="inlineStr">
        <is>
          <t>MANIFESTANTES PEDEM SAÍDA DO PRESIDENTE JOVENEL MOÏSE EM UM PAÍS EM PROFUNDA CRISE ECONÔMICA E POLÍTICA. POLICIAIS DISPARARAM CONTRA MANIFESTANTES COM ARMA DE FOGO, SEGUNDO DENÚNCIAS.</t>
        </is>
      </c>
      <c r="J1311">
        <f>HYPERLINK("https://g1.globo.com/mundo/noticia/2019/09/30/jornalista-e-baleado-em-novo-dia-de-protestos-no-haiti-diz-radio.ghtml", "URL")</f>
        <v/>
      </c>
      <c r="K1311">
        <f>HYPERLINK("https://raw.githubusercontent.com/marcosmapl/dataset_imigrantes/main/noticias_filtered/g1/haitianos/2019/09_out/html/g1_d62a9c28-230a-11ed-b24f-6dbe51e79fca_2531.html", "HTML")</f>
        <v/>
      </c>
      <c r="L1311">
        <f>HYPERLINK("https://raw.githubusercontent.com/marcosmapl/dataset_imigrantes/main/noticias_filtered/g1/haitianos/2019/09_out/txt/g1_d62a9c28-230a-11ed-b24f-6dbe51e79fca_2531.txt", "TXT")</f>
        <v/>
      </c>
    </row>
    <row r="1312">
      <c r="A1312" s="1" t="n">
        <v>1310</v>
      </c>
      <c r="B1312" t="n">
        <v>2019</v>
      </c>
      <c r="C1312" s="2" t="n">
        <v>43738.83259175926</v>
      </c>
      <c r="D1312" t="inlineStr">
        <is>
          <t>G1</t>
        </is>
      </c>
      <c r="E1312" t="inlineStr">
        <is>
          <t>VENEZUELANOS</t>
        </is>
      </c>
      <c r="F1312" t="inlineStr">
        <is>
          <t>MATO GROSSO</t>
        </is>
      </c>
      <c r="G1312" t="inlineStr">
        <is>
          <t>G1 MT</t>
        </is>
      </c>
      <c r="H1312" t="inlineStr">
        <is>
          <t>VENEZUELANO É PRESO APÓS AGREDIR NAMORADA COM SOCO NO ROSTO EM CUIABÁ</t>
        </is>
      </c>
      <c r="I1312" t="inlineStr">
        <is>
          <t>SEGUNDO A VÍTIMA, ELE DEU UM SOCO NO ROSTO DELA, DERRUBANDO-A NO CHÃO. ELA APRESENTAVA FERIMENTOS NO ROSTO E NAS PERNAS.</t>
        </is>
      </c>
      <c r="J1312">
        <f>HYPERLINK("https://g1.globo.com/mt/mato-grosso/noticia/2019/09/30/venezuelano-e-preso-apos-agredir-namorada-com-soco-no-rosto-em-cuiaba.ghtml", "URL")</f>
        <v/>
      </c>
      <c r="K1312">
        <f>HYPERLINK("https://raw.githubusercontent.com/marcosmapl/dataset_imigrantes/main/noticias_filtered/g1/venezuelanos/2019/08_set/html/g1_c5097a32-2318-11ed-b24f-6dbe51e79fca_3278.html", "HTML")</f>
        <v/>
      </c>
      <c r="L1312">
        <f>HYPERLINK("https://raw.githubusercontent.com/marcosmapl/dataset_imigrantes/main/noticias_filtered/g1/venezuelanos/2019/08_set/txt/g1_c5097a32-2318-11ed-b24f-6dbe51e79fca_3278.txt", "TXT")</f>
        <v/>
      </c>
    </row>
    <row r="1313">
      <c r="A1313" s="1" t="n">
        <v>1311</v>
      </c>
      <c r="B1313" t="n">
        <v>2019</v>
      </c>
      <c r="C1313" s="2" t="n">
        <v>43738.55391203704</v>
      </c>
      <c r="D1313" t="inlineStr">
        <is>
          <t>A CRITICA</t>
        </is>
      </c>
      <c r="E1313" t="inlineStr">
        <is>
          <t>VENEZUELANOS</t>
        </is>
      </c>
      <c r="F1313" t="inlineStr"/>
      <c r="G1313" t="inlineStr">
        <is>
          <t>REUTERS</t>
        </is>
      </c>
      <c r="H1313" t="inlineStr">
        <is>
          <t>MADURO ACUSA GOVERNO PERUANO DE COMETER XENOFOBIA CONTRA IMIGRANTES</t>
        </is>
      </c>
      <c r="I1313" t="inlineStr">
        <is>
          <t>O CLIMA PARECE PARTICULARMENTE TENSO NO PERU, ONDE VÍDEOS CIRCULANDO NAS REDES SOCIAIS NOS ÚLTIMOS DIAS PARECEM MOSTRAR UMA JOVEM VENEZUELANA SENDO ESPANCADA NA RUA</t>
        </is>
      </c>
      <c r="J1313">
        <f>HYPERLINK("https://www.acritica.com/maduro-acusa-governo-peruano-de-cometer-xenofobia-contra-imigrantes-1.58634", "URL")</f>
        <v/>
      </c>
      <c r="K1313">
        <f>HYPERLINK("https://raw.githubusercontent.com/marcosmapl/dataset_imigrantes/main/noticias_filtered/a_critica/venezuelanos/2019/08_set/html/1.58634_718.html", "HTML")</f>
        <v/>
      </c>
      <c r="L1313">
        <f>HYPERLINK("https://raw.githubusercontent.com/marcosmapl/dataset_imigrantes/main/noticias_filtered/a_critica/venezuelanos/2019/08_set/txt/1.58634_718.txt", "TXT")</f>
        <v/>
      </c>
    </row>
    <row r="1314">
      <c r="A1314" s="1" t="n">
        <v>1312</v>
      </c>
      <c r="B1314" t="n">
        <v>2019</v>
      </c>
      <c r="C1314" s="2" t="n">
        <v>43738.42777777778</v>
      </c>
      <c r="D1314" t="inlineStr">
        <is>
          <t>A CRITICA</t>
        </is>
      </c>
      <c r="E1314" t="inlineStr">
        <is>
          <t>VENEZUELANOS</t>
        </is>
      </c>
      <c r="F1314" t="inlineStr">
        <is>
          <t>MANAUS</t>
        </is>
      </c>
      <c r="G1314" t="inlineStr">
        <is>
          <t>LARISSA CAVALCANTE</t>
        </is>
      </c>
      <c r="H1314" t="inlineStr">
        <is>
          <t>EM MANAUS, TRABALHADORES SEM CARTEIRA ASSINADA LUTAM PELA SOBREVIVÊNCIA</t>
        </is>
      </c>
      <c r="I1314" t="inlineStr">
        <is>
          <t>MARCO ALEXIS, DE 51 ANOS, É UM DOS 38,8 MILHÕES DE TRABALHADORES POR CONTA PRÓPRIA OU SEM CARTEIRA ASSINADA NO PAÍS. QUASE METADE DO PAÍS VIVE NESTA SITUAÇÃO, DIZ IBGE</t>
        </is>
      </c>
      <c r="J1314">
        <f>HYPERLINK("https://www.acritica.com/manaus/em-manaus-trabalhadores-sem-carteira-assinada-lutam-pela-sobrevivencia-1.58642", "URL")</f>
        <v/>
      </c>
      <c r="K1314">
        <f>HYPERLINK("https://raw.githubusercontent.com/marcosmapl/dataset_imigrantes/main/noticias_filtered/a_critica/venezuelanos/2019/08_set/html/1.58642_1324.html", "HTML")</f>
        <v/>
      </c>
      <c r="L1314">
        <f>HYPERLINK("https://raw.githubusercontent.com/marcosmapl/dataset_imigrantes/main/noticias_filtered/a_critica/venezuelanos/2019/08_set/txt/1.58642_1324.txt", "TXT")</f>
        <v/>
      </c>
    </row>
    <row r="1315">
      <c r="A1315" s="1" t="n">
        <v>1313</v>
      </c>
      <c r="B1315" t="n">
        <v>2019</v>
      </c>
      <c r="C1315" s="2" t="n">
        <v>43738.33380796296</v>
      </c>
      <c r="D1315" t="inlineStr">
        <is>
          <t>G1</t>
        </is>
      </c>
      <c r="E1315" t="inlineStr">
        <is>
          <t>VENEZUELANOS</t>
        </is>
      </c>
      <c r="F1315" t="inlineStr">
        <is>
          <t>CEARÁ</t>
        </is>
      </c>
      <c r="G1315" t="inlineStr">
        <is>
          <t>MATHEUS FACUNDO, G1 CE</t>
        </is>
      </c>
      <c r="H1315" t="inlineStr">
        <is>
          <t>VOLUNTÁRIO ABRIGA 40 REFUGIADOS VENEZUELANOS NO CEARÁ</t>
        </is>
      </c>
      <c r="I1315" t="inlineStr">
        <is>
          <t>GRUPO FOI ENCONTRADO EM MAIO DESTE ANO VIVENDO EM SITUAÇÃO DE VULNERABILIDADE EXTREMA NO CENTRO DE FORTALEZA E PEDINDO AJUDA NAS RUAS DA CIDADE.</t>
        </is>
      </c>
      <c r="J1315">
        <f>HYPERLINK("https://g1.globo.com/ce/ceara/noticia/2019/09/30/voluntario-abriga-40-refugiados-venezuelanos-em-imovel-na-grande-fortaleza-grupo-ja-tem-primeiro-recem-nascido.ghtml", "URL")</f>
        <v/>
      </c>
      <c r="K1315">
        <f>HYPERLINK("https://raw.githubusercontent.com/marcosmapl/dataset_imigrantes/main/noticias_filtered/g1/venezuelanos/2019/08_set/html/g1_bb46621c-2322-11ed-b24f-6dbe51e79fca_3769.html", "HTML")</f>
        <v/>
      </c>
      <c r="L1315">
        <f>HYPERLINK("https://raw.githubusercontent.com/marcosmapl/dataset_imigrantes/main/noticias_filtered/g1/venezuelanos/2019/08_set/txt/g1_bb46621c-2322-11ed-b24f-6dbe51e79fca_3769.txt", "TXT")</f>
        <v/>
      </c>
    </row>
    <row r="1316">
      <c r="A1316" s="1" t="n">
        <v>1314</v>
      </c>
      <c r="B1316" t="n">
        <v>2019</v>
      </c>
      <c r="C1316" s="2" t="n">
        <v>43734.75813019676</v>
      </c>
      <c r="D1316" t="inlineStr">
        <is>
          <t>G1</t>
        </is>
      </c>
      <c r="E1316" t="inlineStr">
        <is>
          <t>VENEZUELANOS</t>
        </is>
      </c>
      <c r="F1316" t="inlineStr">
        <is>
          <t>RIO GRANDE DO NORTE</t>
        </is>
      </c>
      <c r="G1316" t="inlineStr">
        <is>
          <t>RAFAEL BARBOSA, G1 RN</t>
        </is>
      </c>
      <c r="H1316" t="inlineStr">
        <is>
          <t>ASSOCIAÇÃO BUSCA MORADIA PARA VENEZUELANOS INDÍGENAS QUE PEDEM DINHEIRO NAS RUAS DE NATAL</t>
        </is>
      </c>
      <c r="I1316" t="inlineStr">
        <is>
          <t>SEGUNDO A ASSOCIAÇÃO EM SOLIDARIEDADE AO IMIGRANTE DO RIO GRANDE DO NORTE (ASIRN), AO TODO, SÃO 19 PESSOAS QUE VIERAM DA VENEZUELA PARA SE INSTALAR NA CAPITAL POTIGUAR, E TODOS SÃO ÍNDIOS WARAO.</t>
        </is>
      </c>
      <c r="J1316">
        <f>HYPERLINK("https://g1.globo.com/rn/rio-grande-do-norte/noticia/2019/09/26/associacao-busca-moradia-para-venezuelanos-indigenas-que-pedem-dinheiro-nas-ruas-de-natal.ghtml", "URL")</f>
        <v/>
      </c>
      <c r="K1316">
        <f>HYPERLINK("https://raw.githubusercontent.com/marcosmapl/dataset_imigrantes/main/noticias_filtered/g1/venezuelanos/2019/08_set/html/g1_d291d724-231a-11ed-b24f-6dbe51e79fca_3356.html", "HTML")</f>
        <v/>
      </c>
      <c r="L1316">
        <f>HYPERLINK("https://raw.githubusercontent.com/marcosmapl/dataset_imigrantes/main/noticias_filtered/g1/venezuelanos/2019/08_set/txt/g1_d291d724-231a-11ed-b24f-6dbe51e79fca_3356.txt", "TXT")</f>
        <v/>
      </c>
    </row>
    <row r="1317">
      <c r="A1317" s="1" t="n">
        <v>1315</v>
      </c>
      <c r="B1317" t="n">
        <v>2019</v>
      </c>
      <c r="C1317" s="2" t="n">
        <v>43732.76039690973</v>
      </c>
      <c r="D1317" t="inlineStr">
        <is>
          <t>G1</t>
        </is>
      </c>
      <c r="E1317" t="inlineStr">
        <is>
          <t>HAITIANOS</t>
        </is>
      </c>
      <c r="F1317" t="inlineStr">
        <is>
          <t>SOROCABA E JUNDIAÍ</t>
        </is>
      </c>
      <c r="G1317" t="inlineStr">
        <is>
          <t>G1 SOROCABA E JUNDIAÍ</t>
        </is>
      </c>
      <c r="H1317" t="inlineStr">
        <is>
          <t>BEBÊ COM SUSPEITA DE ENVENENAMENTO PELA MÃE DEIXA UTI DE HOSPITAL EM SOROCABA</t>
        </is>
      </c>
      <c r="I1317" t="inlineStr">
        <is>
          <t>FUNCIONÁRIA TERIA VISTO A MÃE, QUE É HAITIANA, FAZENDO MOVIMENTOS CIRCULARES DENTRO DA BOCA DO BEBÊ; APÓS VISITA DA MULHER, CRIANÇA QUE ESTAVA INTERNADA PARA TRATAMENTO DE PNEUMONIA APRESENTOU QUADRO DE INTOXICAÇÃO.</t>
        </is>
      </c>
      <c r="J1317">
        <f>HYPERLINK("https://g1.globo.com/sp/sorocaba-jundiai/noticia/2019/09/24/bebe-com-suspeita-de-envenenamento-pela-mae-deixa-uti-de-hospital-em-sorocaba.ghtml", "URL")</f>
        <v/>
      </c>
      <c r="K1317">
        <f>HYPERLINK("https://raw.githubusercontent.com/marcosmapl/dataset_imigrantes/main/noticias_filtered/g1/haitianos/2019/08_set/html/g1_802c1d08-2326-11ed-b24f-6dbe51e79fca_3980.html", "HTML")</f>
        <v/>
      </c>
      <c r="L1317">
        <f>HYPERLINK("https://raw.githubusercontent.com/marcosmapl/dataset_imigrantes/main/noticias_filtered/g1/haitianos/2019/08_set/txt/g1_802c1d08-2326-11ed-b24f-6dbe51e79fca_3980.txt", "TXT")</f>
        <v/>
      </c>
    </row>
    <row r="1318">
      <c r="A1318" s="1" t="n">
        <v>1316</v>
      </c>
      <c r="B1318" t="n">
        <v>2019</v>
      </c>
      <c r="C1318" s="2" t="n">
        <v>43732.71357630787</v>
      </c>
      <c r="D1318" t="inlineStr">
        <is>
          <t>G1</t>
        </is>
      </c>
      <c r="E1318" t="inlineStr">
        <is>
          <t>VENEZUELANOS</t>
        </is>
      </c>
      <c r="F1318" t="inlineStr">
        <is>
          <t>SOROCABA E JUNDIAÍ</t>
        </is>
      </c>
      <c r="G1318" t="inlineStr">
        <is>
          <t>G1 SOROCABA E JUNDIAÍ</t>
        </is>
      </c>
      <c r="H1318" t="inlineStr">
        <is>
          <t>VENEZUELANOS SÃO ENCONTRADOS EM SITUAÇÃO ANÁLOGA À ESCRAVIDÃO EM VOTORANTIM</t>
        </is>
      </c>
      <c r="I1318" t="inlineStr">
        <is>
          <t>IMIGRANTES FORAM ENCONTRADOS NO INTERIOR DE SP DURANTE INVESTIGAÇÃO A EMPRESÁRIO SUSPEITO DE TRÁFICO DE PESSOAS EM RORAIMA. OPERAÇÃO DA POLÍCIA FEDERAL PRENDEU EMPRESÁRIO EM BOA VISTA. ELE É SUSPEITO DE ALICIAR VENEZUELANOS EM PACARAIMA.</t>
        </is>
      </c>
      <c r="J1318">
        <f>HYPERLINK("https://g1.globo.com/sp/sorocaba-jundiai/noticia/2019/09/24/venezuelanos-sao-encontrados-em-situacao-analoga-a-escravidao-em-votorantim.ghtml", "URL")</f>
        <v/>
      </c>
      <c r="K1318">
        <f>HYPERLINK("https://raw.githubusercontent.com/marcosmapl/dataset_imigrantes/main/noticias_filtered/g1/venezuelanos/2019/08_set/html/g1_6f46d278-2324-11ed-b24f-6dbe51e79fca_3871.html", "HTML")</f>
        <v/>
      </c>
      <c r="L1318">
        <f>HYPERLINK("https://raw.githubusercontent.com/marcosmapl/dataset_imigrantes/main/noticias_filtered/g1/venezuelanos/2019/08_set/txt/g1_6f46d278-2324-11ed-b24f-6dbe51e79fca_3871.txt", "TXT")</f>
        <v/>
      </c>
    </row>
    <row r="1319">
      <c r="A1319" s="1" t="n">
        <v>1317</v>
      </c>
      <c r="B1319" t="n">
        <v>2019</v>
      </c>
      <c r="C1319" s="2" t="n">
        <v>43732.4759287037</v>
      </c>
      <c r="D1319" t="inlineStr">
        <is>
          <t>G1</t>
        </is>
      </c>
      <c r="E1319" t="inlineStr">
        <is>
          <t>VENEZUELANOS</t>
        </is>
      </c>
      <c r="F1319" t="inlineStr">
        <is>
          <t>MATO GROSSO</t>
        </is>
      </c>
      <c r="G1319" t="inlineStr">
        <is>
          <t>G1 MT</t>
        </is>
      </c>
      <c r="H1319" t="inlineStr">
        <is>
          <t>ADOLESCENTE, VENEZUELANA E PEDESTRE SÃO ATINGIDOS POR DESCARGA ELÉTRICA DURANTE TEMPORAL EM CUIABÁ</t>
        </is>
      </c>
      <c r="I1319" t="inlineStr">
        <is>
          <t>RAIO ARREBENTOU FIAÇÃO ELÉTRICA QUE ACABOU ATINGINDO AS TRÊS VÍTIMAS NA AVENIDA MIGUEL SUTIL.</t>
        </is>
      </c>
      <c r="J1319">
        <f>HYPERLINK("https://g1.globo.com/mt/mato-grosso/noticia/2019/09/24/adolescente-venezuelana-e-pedestre-sao-atingidos-por-descarga-eletrica-durante-temporal-em-cuiaba.ghtml", "URL")</f>
        <v/>
      </c>
      <c r="K1319">
        <f>HYPERLINK("https://raw.githubusercontent.com/marcosmapl/dataset_imigrantes/main/noticias_filtered/g1/venezuelanos/2019/08_set/html/g1_00ebefd8-2325-11ed-b24f-6dbe51e79fca_3893.html", "HTML")</f>
        <v/>
      </c>
      <c r="L1319">
        <f>HYPERLINK("https://raw.githubusercontent.com/marcosmapl/dataset_imigrantes/main/noticias_filtered/g1/venezuelanos/2019/08_set/txt/g1_00ebefd8-2325-11ed-b24f-6dbe51e79fca_3893.txt", "TXT")</f>
        <v/>
      </c>
    </row>
    <row r="1320">
      <c r="A1320" s="1" t="n">
        <v>1318</v>
      </c>
      <c r="B1320" t="n">
        <v>2019</v>
      </c>
      <c r="C1320" s="2" t="n">
        <v>43732.375</v>
      </c>
      <c r="D1320" t="inlineStr">
        <is>
          <t>A CRITICA</t>
        </is>
      </c>
      <c r="E1320" t="inlineStr">
        <is>
          <t>VENEZUELANOS</t>
        </is>
      </c>
      <c r="F1320" t="inlineStr">
        <is>
          <t>MANAUS</t>
        </is>
      </c>
      <c r="G1320" t="inlineStr">
        <is>
          <t>PAULO ANDRÉ NUNES</t>
        </is>
      </c>
      <c r="H1320" t="inlineStr">
        <is>
          <t>‘INVISÍVEIS’, VENEZUELANOS PCDS BUSCAM APOIO DURANTE AÇÃO HUMANITÁRIA</t>
        </is>
      </c>
      <c r="I1320" t="inlineStr">
        <is>
          <t>AÇÃO ORGANIZADA POR SECRETARIA LOCAL, COM APOIO DE PARCEIROS ENVOLVIDOS, OFERECEU SERVIÇOS HUMANITÁRIOS AOS MIGRANTES DA VENEZUELA; CONHEÇA AS HISTÓRIAS DRAMÁTICAS POR TRÁS DA VINDA DELES A MANAUS</t>
        </is>
      </c>
      <c r="J1320">
        <f>HYPERLINK("https://www.acritica.com/manaus/invisiveis-venezuelanos-pcds-buscam-apoio-durante-ac-o-humanitaria-1.58523", "URL")</f>
        <v/>
      </c>
      <c r="K1320">
        <f>HYPERLINK("https://raw.githubusercontent.com/marcosmapl/dataset_imigrantes/main/noticias_filtered/a_critica/venezuelanos/2019/08_set/html/1.58523_859.html", "HTML")</f>
        <v/>
      </c>
      <c r="L1320">
        <f>HYPERLINK("https://raw.githubusercontent.com/marcosmapl/dataset_imigrantes/main/noticias_filtered/a_critica/venezuelanos/2019/08_set/txt/1.58523_859.txt", "TXT")</f>
        <v/>
      </c>
    </row>
    <row r="1321">
      <c r="A1321" s="1" t="n">
        <v>1319</v>
      </c>
      <c r="B1321" t="n">
        <v>2019</v>
      </c>
      <c r="C1321" s="2" t="n">
        <v>43731.84722918981</v>
      </c>
      <c r="D1321" t="inlineStr">
        <is>
          <t>G1</t>
        </is>
      </c>
      <c r="E1321" t="inlineStr">
        <is>
          <t>HAITIANOS</t>
        </is>
      </c>
      <c r="F1321" t="inlineStr">
        <is>
          <t>MUNDO</t>
        </is>
      </c>
      <c r="G1321" t="inlineStr">
        <is>
          <t>G1</t>
        </is>
      </c>
      <c r="H1321" t="inlineStr">
        <is>
          <t>SENADOR DISPARA CONTRA MANIFESTANTES EM FRENTE AO PARLAMENTO DO HAITI E DEIXA FERIDOS</t>
        </is>
      </c>
      <c r="I1321" t="inlineStr">
        <is>
          <t>FOTOJORNALISTA QUE VESTIA UM COLETE QUE O IDENTIFICAVA COMO IMPRENSA FOI ATINGIDO POR ESTILHAÇOS DE BALA. PAÍS VIVE ONDA DE VIOLÊNCIA E PROTESTOS.</t>
        </is>
      </c>
      <c r="J1321">
        <f>HYPERLINK("https://g1.globo.com/mundo/noticia/2019/09/23/senador-dispara-contra-manifestantes-em-frente-ao-parlamento-do-haiti-e-deixa-feridos.ghtml", "URL")</f>
        <v/>
      </c>
      <c r="K1321">
        <f>HYPERLINK("https://raw.githubusercontent.com/marcosmapl/dataset_imigrantes/main/noticias_filtered/g1/haitianos/2019/08_set/html/g1_4fcf7d36-230c-11ed-b24f-6dbe51e79fca_2617.html", "HTML")</f>
        <v/>
      </c>
      <c r="L1321">
        <f>HYPERLINK("https://raw.githubusercontent.com/marcosmapl/dataset_imigrantes/main/noticias_filtered/g1/haitianos/2019/08_set/txt/g1_4fcf7d36-230c-11ed-b24f-6dbe51e79fca_2617.txt", "TXT")</f>
        <v/>
      </c>
    </row>
    <row r="1322">
      <c r="A1322" s="1" t="n">
        <v>1320</v>
      </c>
      <c r="B1322" t="n">
        <v>2019</v>
      </c>
      <c r="C1322" s="2" t="n">
        <v>43731.7405540625</v>
      </c>
      <c r="D1322" t="inlineStr">
        <is>
          <t>G1</t>
        </is>
      </c>
      <c r="E1322" t="inlineStr">
        <is>
          <t>HAITIANOS</t>
        </is>
      </c>
      <c r="F1322" t="inlineStr">
        <is>
          <t>MATO GROSSO</t>
        </is>
      </c>
      <c r="G1322" t="inlineStr">
        <is>
          <t>DENISE SOARES E ALEX BETTINARDI, G1 MT E CENTRO AMÉRICA FM</t>
        </is>
      </c>
      <c r="H1322" t="inlineStr">
        <is>
          <t>HAITIANO É ASSASSINADO A TIROS EM SUPOSTO ASSALTO ENQUANTO TRABALHAVA EM CONVENIÊNCIA EM MT</t>
        </is>
      </c>
      <c r="I1322" t="inlineStr">
        <is>
          <t>A PRINCIPAL SUSPEITA DA POLÍCIA É LATROCÍNIO E QUE A VÍTIMA TERIA REAGIDO AO ASSALTO.</t>
        </is>
      </c>
      <c r="J1322">
        <f>HYPERLINK("https://g1.globo.com/mt/mato-grosso/noticia/2019/09/23/haitiano-e-assassinado-a-tiros-em-suposto-assalto-enquanto-trabalhava-em-conveniencia-em-mt.ghtml", "URL")</f>
        <v/>
      </c>
      <c r="K1322">
        <f>HYPERLINK("https://raw.githubusercontent.com/marcosmapl/dataset_imigrantes/main/noticias_filtered/g1/haitianos/2019/08_set/html/g1_56914698-22fa-11ed-b24f-6dbe51e79fca_2212.html", "HTML")</f>
        <v/>
      </c>
      <c r="L1322">
        <f>HYPERLINK("https://raw.githubusercontent.com/marcosmapl/dataset_imigrantes/main/noticias_filtered/g1/haitianos/2019/08_set/txt/g1_56914698-22fa-11ed-b24f-6dbe51e79fca_2212.txt", "TXT")</f>
        <v/>
      </c>
    </row>
    <row r="1323">
      <c r="A1323" s="1" t="n">
        <v>1321</v>
      </c>
      <c r="B1323" t="n">
        <v>2019</v>
      </c>
      <c r="C1323" s="2" t="n">
        <v>43731.72724537037</v>
      </c>
      <c r="D1323" t="inlineStr">
        <is>
          <t>A CRITICA</t>
        </is>
      </c>
      <c r="E1323" t="inlineStr">
        <is>
          <t>VENEZUELANOS</t>
        </is>
      </c>
      <c r="F1323" t="inlineStr"/>
      <c r="G1323" t="inlineStr">
        <is>
          <t>PORTAL A CRÍTICA</t>
        </is>
      </c>
      <c r="H1323" t="inlineStr">
        <is>
          <t>SEPED REALIZA ATENDIMENTO ÀS FAMÍLIAS VENEZUELANAS COM SERVIÇOS HUMANITÁRIOS</t>
        </is>
      </c>
      <c r="I1323" t="inlineStr">
        <is>
          <t>AÇÃO FAZ PARTE DA OPERAÇÃO ACOLHIDA E FOI REALIZADA DURANTE TODA A MANHÃ DESTA SEGUNDA-FEIRA (23)</t>
        </is>
      </c>
      <c r="J1323">
        <f>HYPERLINK("https://www.acritica.com/seped-realiza-atendimento-as-familias-venezuelanas-com-servicos-humanitarios-1.58543", "URL")</f>
        <v/>
      </c>
      <c r="K1323">
        <f>HYPERLINK("https://raw.githubusercontent.com/marcosmapl/dataset_imigrantes/main/noticias_filtered/a_critica/venezuelanos/2019/08_set/html/1.58543_587.html", "HTML")</f>
        <v/>
      </c>
      <c r="L1323">
        <f>HYPERLINK("https://raw.githubusercontent.com/marcosmapl/dataset_imigrantes/main/noticias_filtered/a_critica/venezuelanos/2019/08_set/txt/1.58543_587.txt", "TXT")</f>
        <v/>
      </c>
    </row>
    <row r="1324">
      <c r="A1324" s="1" t="n">
        <v>1322</v>
      </c>
      <c r="B1324" t="n">
        <v>2019</v>
      </c>
      <c r="C1324" s="2" t="n">
        <v>43731.68276688657</v>
      </c>
      <c r="D1324" t="inlineStr">
        <is>
          <t>G1</t>
        </is>
      </c>
      <c r="E1324" t="inlineStr">
        <is>
          <t>HAITIANOS</t>
        </is>
      </c>
      <c r="F1324" t="inlineStr">
        <is>
          <t>SOROCABA E JUNDIAÍ</t>
        </is>
      </c>
      <c r="G1324" t="inlineStr">
        <is>
          <t>G1 SOROCABA E JUNDIAÍ</t>
        </is>
      </c>
      <c r="H1324" t="inlineStr">
        <is>
          <t>MÃE HAITIANA É SUSPEITA DE ENVENENAR FILHO DE 10 MESES DENTRO DE HOSPITAL EM SOROCABA</t>
        </is>
      </c>
      <c r="I1324" t="inlineStr">
        <is>
          <t>CRIANÇA SOFRE DE CARDIOPATIA E ESTÁ INTERNADA HÁ UM MÊS PARA TRATAR DE UMA PNEUMONIA; SEGUNDO A POLÍCIA, CRIANÇA COMEÇOU A PASSAR MAL APÓS VISITA DA MÃE. FUNCIONÁRIO TERIA VISTO MULHER FAZENDO MOVIMENTOS CIRCULARES NA BOCA DO BEBÊ.</t>
        </is>
      </c>
      <c r="J1324">
        <f>HYPERLINK("https://g1.globo.com/sp/sorocaba-jundiai/noticia/2019/09/23/mae-e-suspeita-de-envenenar-filho-de-10-meses-dentro-de-hospital-em-sorocaba.ghtml", "URL")</f>
        <v/>
      </c>
      <c r="K1324">
        <f>HYPERLINK("https://raw.githubusercontent.com/marcosmapl/dataset_imigrantes/main/noticias_filtered/g1/haitianos/2019/08_set/html/g1_dae116d8-2310-11ed-b24f-6dbe51e79fca_2880.html", "HTML")</f>
        <v/>
      </c>
      <c r="L1324">
        <f>HYPERLINK("https://raw.githubusercontent.com/marcosmapl/dataset_imigrantes/main/noticias_filtered/g1/haitianos/2019/08_set/txt/g1_dae116d8-2310-11ed-b24f-6dbe51e79fca_2880.txt", "TXT")</f>
        <v/>
      </c>
    </row>
    <row r="1325">
      <c r="A1325" s="1" t="n">
        <v>1323</v>
      </c>
      <c r="B1325" t="n">
        <v>2019</v>
      </c>
      <c r="C1325" s="2" t="n">
        <v>43730.86664487269</v>
      </c>
      <c r="D1325" t="inlineStr">
        <is>
          <t>G1</t>
        </is>
      </c>
      <c r="E1325" t="inlineStr">
        <is>
          <t>VENEZUELANOS</t>
        </is>
      </c>
      <c r="F1325" t="inlineStr">
        <is>
          <t>RORAIMA</t>
        </is>
      </c>
      <c r="G1325" t="inlineStr">
        <is>
          <t>FABRÍCIO ARAÚJO, G1 RR — BOA VISTA</t>
        </is>
      </c>
      <c r="H1325" t="inlineStr">
        <is>
          <t>EM VÍDEO, TRAVESTI VENEZUELANA É ESPANCADA E ACUSADA DE ROUBO EM RR; 'AQUI É BRASIL', DIZ AGRESSOR</t>
        </is>
      </c>
      <c r="I1325" t="inlineStr">
        <is>
          <t>ASSOCIAÇÃO DE TRAVESTIS E TRANSEXUAIS DE RORAIMA CLASSIFICOU ATO COMO DEMONSTRAÇÃO DE XENOFOBIA E TRANSFOBIA E COBROU INVESTIGAÇÃO. POLÍCIA DIZ QUE VAI APURAR TANTO ACUSAÇÃO DE ROUBO QUANTO AGRESSÃO.</t>
        </is>
      </c>
      <c r="J1325">
        <f>HYPERLINK("https://g1.globo.com/rr/roraima/noticia/2019/09/22/em-video-travesti-venezuelana-e-espancada-e-acusada-de-roubo-em-rr-aqui-e-brasil-diz-agressor.ghtml", "URL")</f>
        <v/>
      </c>
      <c r="K1325">
        <f>HYPERLINK("https://raw.githubusercontent.com/marcosmapl/dataset_imigrantes/main/noticias_filtered/g1/venezuelanos/2019/08_set/html/g1_5e85d752-2312-11ed-b24f-6dbe51e79fca_2963.html", "HTML")</f>
        <v/>
      </c>
      <c r="L1325">
        <f>HYPERLINK("https://raw.githubusercontent.com/marcosmapl/dataset_imigrantes/main/noticias_filtered/g1/venezuelanos/2019/08_set/txt/g1_5e85d752-2312-11ed-b24f-6dbe51e79fca_2963.txt", "TXT")</f>
        <v/>
      </c>
    </row>
    <row r="1326">
      <c r="A1326" s="1" t="n">
        <v>1324</v>
      </c>
      <c r="B1326" t="n">
        <v>2019</v>
      </c>
      <c r="C1326" s="2" t="n">
        <v>43730.70666666667</v>
      </c>
      <c r="D1326" t="inlineStr">
        <is>
          <t>A CRITICA</t>
        </is>
      </c>
      <c r="E1326" t="inlineStr">
        <is>
          <t>VENEZUELANOS</t>
        </is>
      </c>
      <c r="F1326" t="inlineStr"/>
      <c r="G1326" t="inlineStr">
        <is>
          <t>AFP</t>
        </is>
      </c>
      <c r="H1326" t="inlineStr">
        <is>
          <t>"ME DÁ PENA PELO BRASIL", DIZ MICHELLE BACHELET DEPOIS DE POLÊMICA COM BOLSONARO</t>
        </is>
      </c>
      <c r="I1326" t="inlineStr">
        <is>
          <t>"SE HÁ UMA PESSOA QUE DIZ QUE EM SEU PAÍS NUNCA HOUVE DITADURA, QUE NÃO HOUVE TORTURA, BEM, QUE DIA QUE A MORTE DE MEU PAI POR TORTURA PERMITIU QUE (O CHILE) NÃO FOSSE OUTRA CUBA, A VERDADE É QUE ME DÁ PENA PELO BRASIL", DISSE BACHELET EM ENTREVISTA À TELEVISÃO NACIONAL DO CHILE (TVN).</t>
        </is>
      </c>
      <c r="J1326">
        <f>HYPERLINK("https://www.acritica.com/me-da-pena-pelo-brasil-diz-michelle-bachelet-depois-de-polemica-com-bolsonaro-1.59689", "URL")</f>
        <v/>
      </c>
      <c r="K1326">
        <f>HYPERLINK("https://raw.githubusercontent.com/marcosmapl/dataset_imigrantes/main/noticias_filtered/a_critica/venezuelanos/2019/08_set/html/1.59689_260.html", "HTML")</f>
        <v/>
      </c>
      <c r="L1326">
        <f>HYPERLINK("https://raw.githubusercontent.com/marcosmapl/dataset_imigrantes/main/noticias_filtered/a_critica/venezuelanos/2019/08_set/txt/1.59689_260.txt", "TXT")</f>
        <v/>
      </c>
    </row>
    <row r="1327">
      <c r="A1327" s="1" t="n">
        <v>1325</v>
      </c>
      <c r="B1327" t="n">
        <v>2019</v>
      </c>
      <c r="C1327" s="2" t="n">
        <v>43729.69259259259</v>
      </c>
      <c r="D1327" t="inlineStr">
        <is>
          <t>A CRITICA</t>
        </is>
      </c>
      <c r="E1327" t="inlineStr">
        <is>
          <t>VENEZUELANOS</t>
        </is>
      </c>
      <c r="F1327" t="inlineStr">
        <is>
          <t>MANAUS</t>
        </is>
      </c>
      <c r="G1327" t="inlineStr">
        <is>
          <t>PORTAL A CRÍTICA</t>
        </is>
      </c>
      <c r="H1327" t="inlineStr">
        <is>
          <t>MUTIRÃO DE CIDADANIA ATENDE INDÍGENAS VENEZUELANOS DE ABRIGOS DA CAPITAL</t>
        </is>
      </c>
      <c r="I1327" t="inlineStr">
        <is>
          <t>CERCA DE 250 PESSOAS RECEBERAM ATENDIMENTOS NAS ÁREAS SOCIAIS, DE SAÚDE E CIDADANIA</t>
        </is>
      </c>
      <c r="J1327">
        <f>HYPERLINK("https://www.acritica.com/manaus/mutir-o-de-cidadania-atende-indigenas-venezuelanos-de-abrigos-da-capital-1.59648", "URL")</f>
        <v/>
      </c>
      <c r="K1327">
        <f>HYPERLINK("https://raw.githubusercontent.com/marcosmapl/dataset_imigrantes/main/noticias_filtered/a_critica/venezuelanos/2019/08_set/html/1.59648_287.html", "HTML")</f>
        <v/>
      </c>
      <c r="L1327">
        <f>HYPERLINK("https://raw.githubusercontent.com/marcosmapl/dataset_imigrantes/main/noticias_filtered/a_critica/venezuelanos/2019/08_set/txt/1.59648_287.txt", "TXT")</f>
        <v/>
      </c>
    </row>
    <row r="1328">
      <c r="A1328" s="1" t="n">
        <v>1326</v>
      </c>
      <c r="B1328" t="n">
        <v>2019</v>
      </c>
      <c r="C1328" s="2" t="n">
        <v>43728.54903935185</v>
      </c>
      <c r="D1328" t="inlineStr">
        <is>
          <t>A CRITICA</t>
        </is>
      </c>
      <c r="E1328" t="inlineStr">
        <is>
          <t>VENEZUELANOS</t>
        </is>
      </c>
      <c r="F1328" t="inlineStr"/>
      <c r="G1328" t="inlineStr">
        <is>
          <t>AGÊNCIA BRASIL</t>
        </is>
      </c>
      <c r="H1328" t="inlineStr">
        <is>
          <t>GUAIDÓ CRIA CONSELHO PARA CONVOCAR ELEIÇÕES PRESIDENCIAIS NA VENEZUELA</t>
        </is>
      </c>
      <c r="I1328" t="inlineStr">
        <is>
          <t>SEGUNDO ELE, COM A CRIAÇÃO DO CONSELHO, A OPOSIÇÃO RATIFICA O PLANO CENTRADO NUMA MUDANÇA DE REGIME NO PAÍS</t>
        </is>
      </c>
      <c r="J1328">
        <f>HYPERLINK("https://www.acritica.com/guaido-cria-conselho-para-convocar-eleic-es-presidenciais-na-venezuela-1.58588", "URL")</f>
        <v/>
      </c>
      <c r="K1328">
        <f>HYPERLINK("https://raw.githubusercontent.com/marcosmapl/dataset_imigrantes/main/noticias_filtered/a_critica/venezuelanos/2019/08_set/html/1.58588_631.html", "HTML")</f>
        <v/>
      </c>
      <c r="L1328">
        <f>HYPERLINK("https://raw.githubusercontent.com/marcosmapl/dataset_imigrantes/main/noticias_filtered/a_critica/venezuelanos/2019/08_set/txt/1.58588_631.txt", "TXT")</f>
        <v/>
      </c>
    </row>
    <row r="1329">
      <c r="A1329" s="1" t="n">
        <v>1327</v>
      </c>
      <c r="B1329" t="n">
        <v>2019</v>
      </c>
      <c r="C1329" s="2" t="n">
        <v>43726.62524423611</v>
      </c>
      <c r="D1329" t="inlineStr">
        <is>
          <t>G1</t>
        </is>
      </c>
      <c r="E1329" t="inlineStr">
        <is>
          <t>VENEZUELANOS</t>
        </is>
      </c>
      <c r="F1329" t="inlineStr">
        <is>
          <t>RIO GRANDE DO NORTE</t>
        </is>
      </c>
      <c r="G1329" t="inlineStr">
        <is>
          <t>ANNA ALYNE CUNHA E RAFAEL BARBOSA, INTER TV CABUGI E G1 RN</t>
        </is>
      </c>
      <c r="H1329" t="inlineStr">
        <is>
          <t>SEM MORADIA, VENEZUELANOS REFUGIADOS PEDEM DINHEIRO NAS RUAS DE NATAL</t>
        </is>
      </c>
      <c r="I1329" t="inlineStr">
        <is>
          <t>PELO MENOS SEIS FAMÍLIAS ESTÃO NA MESMA SITUAÇÃO, SEM ABRIGO. GRUPO CHEGOU A NATAL HÁ QUATRO DIAS.</t>
        </is>
      </c>
      <c r="J1329">
        <f>HYPERLINK("https://g1.globo.com/rn/rio-grande-do-norte/noticia/2019/09/18/sem-moradia-venezuelanos-refugiados-pedem-dinheiro-nas-ruas-de-natal.ghtml", "URL")</f>
        <v/>
      </c>
      <c r="K1329">
        <f>HYPERLINK("https://raw.githubusercontent.com/marcosmapl/dataset_imigrantes/main/noticias_filtered/g1/venezuelanos/2019/08_set/html/g1_63f93e94-2322-11ed-b24f-6dbe51e79fca_3750.html", "HTML")</f>
        <v/>
      </c>
      <c r="L1329">
        <f>HYPERLINK("https://raw.githubusercontent.com/marcosmapl/dataset_imigrantes/main/noticias_filtered/g1/venezuelanos/2019/08_set/txt/g1_63f93e94-2322-11ed-b24f-6dbe51e79fca_3750.txt", "TXT")</f>
        <v/>
      </c>
    </row>
    <row r="1330">
      <c r="A1330" s="1" t="n">
        <v>1328</v>
      </c>
      <c r="B1330" t="n">
        <v>2019</v>
      </c>
      <c r="C1330" s="2" t="n">
        <v>43725.75427405092</v>
      </c>
      <c r="D1330" t="inlineStr">
        <is>
          <t>G1</t>
        </is>
      </c>
      <c r="E1330" t="inlineStr">
        <is>
          <t>VENEZUELANOS</t>
        </is>
      </c>
      <c r="F1330" t="inlineStr">
        <is>
          <t>RORAIMA</t>
        </is>
      </c>
      <c r="G1330" t="inlineStr">
        <is>
          <t>G1 RR — BOA VISTA</t>
        </is>
      </c>
      <c r="H1330" t="inlineStr">
        <is>
          <t>CAMPANHA ARRECADA MATERIAIS ESCOLARES EM BOA VISTA PARA ESTUDANTES DA VENEZUELA</t>
        </is>
      </c>
      <c r="I1330" t="inlineStr">
        <is>
          <t>CAMPANHA 'DOE AQUI, AJUDE LÁ' ESPERA ARRECADAR LÁPIS, CADERNOS, BORRACHAS, TÊNIS E OUTROS MATERIAIS PARA CRIANÇAS VENEZUELANAS.</t>
        </is>
      </c>
      <c r="J1330">
        <f>HYPERLINK("https://g1.globo.com/rr/roraima/noticia/2019/09/17/campanha-arrecada-materiais-escolares-em-boa-vista-para-estudantes-da-venezuela.ghtml", "URL")</f>
        <v/>
      </c>
      <c r="K1330">
        <f>HYPERLINK("https://raw.githubusercontent.com/marcosmapl/dataset_imigrantes/main/noticias_filtered/g1/venezuelanos/2019/08_set/html/g1_e8b3c93e-2308-11ed-b24f-6dbe51e79fca_2412.html", "HTML")</f>
        <v/>
      </c>
      <c r="L1330">
        <f>HYPERLINK("https://raw.githubusercontent.com/marcosmapl/dataset_imigrantes/main/noticias_filtered/g1/venezuelanos/2019/08_set/txt/g1_e8b3c93e-2308-11ed-b24f-6dbe51e79fca_2412.txt", "TXT")</f>
        <v/>
      </c>
    </row>
    <row r="1331">
      <c r="A1331" s="1" t="n">
        <v>1329</v>
      </c>
      <c r="B1331" t="n">
        <v>2019</v>
      </c>
      <c r="C1331" s="2" t="n">
        <v>43725.04321871528</v>
      </c>
      <c r="D1331" t="inlineStr">
        <is>
          <t>G1</t>
        </is>
      </c>
      <c r="E1331" t="inlineStr">
        <is>
          <t>HAITIANOS</t>
        </is>
      </c>
      <c r="F1331" t="inlineStr">
        <is>
          <t>MUNDO</t>
        </is>
      </c>
      <c r="G1331" t="inlineStr">
        <is>
          <t>FRANCE PRESSE</t>
        </is>
      </c>
      <c r="H1331" t="inlineStr">
        <is>
          <t>MANIFESTANTES FECHAM RUAS NO HAITI EM DIA DE GREVE GERAL CONTRA ESCASSEZ DE COMBUSTÍVEIS</t>
        </is>
      </c>
      <c r="I1331" t="inlineStr">
        <is>
          <t>CAPITAL PORTO PRÍNCIPE TEVE RUAS FECHADAS E BARRICADAS INCENDIÁRIAS. SEM ESTOQUE E COM BRIGAS ENTRE MOTORISTAS, POSTOS DE GASOLINA SUSPENDERAM FORNECIMENTO DE COMBUSTÍVEIS.</t>
        </is>
      </c>
      <c r="J1331">
        <f>HYPERLINK("https://g1.globo.com/mundo/noticia/2019/09/16/manifestantes-fecham-ruas-no-haiti-em-dia-de-greve-geral-contra-escassez-de-combustiveis.ghtml", "URL")</f>
        <v/>
      </c>
      <c r="K1331">
        <f>HYPERLINK("https://raw.githubusercontent.com/marcosmapl/dataset_imigrantes/main/noticias_filtered/g1/haitianos/2019/08_set/html/g1_261ac5f0-2315-11ed-b24f-6dbe51e79fca_3070.html", "HTML")</f>
        <v/>
      </c>
      <c r="L1331">
        <f>HYPERLINK("https://raw.githubusercontent.com/marcosmapl/dataset_imigrantes/main/noticias_filtered/g1/haitianos/2019/08_set/txt/g1_261ac5f0-2315-11ed-b24f-6dbe51e79fca_3070.txt", "TXT")</f>
        <v/>
      </c>
    </row>
    <row r="1332">
      <c r="A1332" s="1" t="n">
        <v>1330</v>
      </c>
      <c r="B1332" t="n">
        <v>2019</v>
      </c>
      <c r="C1332" s="2" t="n">
        <v>43724.99772631945</v>
      </c>
      <c r="D1332" t="inlineStr">
        <is>
          <t>G1</t>
        </is>
      </c>
      <c r="E1332" t="inlineStr">
        <is>
          <t>VENEZUELANOS</t>
        </is>
      </c>
      <c r="F1332" t="inlineStr">
        <is>
          <t>CEARÁ</t>
        </is>
      </c>
      <c r="G1332" t="inlineStr">
        <is>
          <t>G1 CE</t>
        </is>
      </c>
      <c r="H1332" t="inlineStr">
        <is>
          <t>VENEZUELANO É PRESO EM FLAGRANTE APÓS TENTAR FURTAR NOTEBOOK EM CASA DE CÂMBIO, EM FORTALEZA</t>
        </is>
      </c>
      <c r="I1332" t="inlineStr">
        <is>
          <t>O ESTRANGEIRO FOI CONTIDO PELOS FUNCIONÁRIOS DO ESTABELECIMENTO ATÉ A CHEGADA DA POLÍCIA.</t>
        </is>
      </c>
      <c r="J1332">
        <f>HYPERLINK("https://g1.globo.com/ce/ceara/noticia/2019/09/16/venezuelano-e-preso-em-flagrante-apos-tentar-furtar-notebook-em-casa-de-cambio-em-fortaleza.ghtml", "URL")</f>
        <v/>
      </c>
      <c r="K1332">
        <f>HYPERLINK("https://raw.githubusercontent.com/marcosmapl/dataset_imigrantes/main/noticias_filtered/g1/venezuelanos/2019/08_set/html/g1_088a62c2-2309-11ed-b24f-6dbe51e79fca_2421.html", "HTML")</f>
        <v/>
      </c>
      <c r="L1332">
        <f>HYPERLINK("https://raw.githubusercontent.com/marcosmapl/dataset_imigrantes/main/noticias_filtered/g1/venezuelanos/2019/08_set/txt/g1_088a62c2-2309-11ed-b24f-6dbe51e79fca_2421.txt", "TXT")</f>
        <v/>
      </c>
    </row>
    <row r="1333">
      <c r="A1333" s="1" t="n">
        <v>1331</v>
      </c>
      <c r="B1333" t="n">
        <v>2019</v>
      </c>
      <c r="C1333" s="2" t="n">
        <v>43724.50743055555</v>
      </c>
      <c r="D1333" t="inlineStr">
        <is>
          <t>A CRITICA</t>
        </is>
      </c>
      <c r="E1333" t="inlineStr">
        <is>
          <t>VENEZUELANOS</t>
        </is>
      </c>
      <c r="F1333" t="inlineStr">
        <is>
          <t>MANAUS</t>
        </is>
      </c>
      <c r="G1333" t="inlineStr">
        <is>
          <t>PAULO ANDRÉ NUNES</t>
        </is>
      </c>
      <c r="H1333" t="inlineStr">
        <is>
          <t>HÁ CRIANÇAS VENEZUELANAS SEM OS PAIS EM MANAUS, ALERTA MP-AM</t>
        </is>
      </c>
      <c r="I1333" t="inlineStr">
        <is>
          <t>SEGUNDO O MINISTÉRIO PÚBLICO, VENEZUELANOS MORRERAM VINDO PARA O BRASIL E AMIGOS FICARAM COM CRIANÇAS</t>
        </is>
      </c>
      <c r="J1333">
        <f>HYPERLINK("https://www.acritica.com/manaus/ha-criancas-venezuelanas-sem-os-pais-em-manaus-alerta-mp-am-1.59839", "URL")</f>
        <v/>
      </c>
      <c r="K1333">
        <f>HYPERLINK("https://raw.githubusercontent.com/marcosmapl/dataset_imigrantes/main/noticias_filtered/a_critica/venezuelanos/2019/08_set/html/1.59839_1291.html", "HTML")</f>
        <v/>
      </c>
      <c r="L1333">
        <f>HYPERLINK("https://raw.githubusercontent.com/marcosmapl/dataset_imigrantes/main/noticias_filtered/a_critica/venezuelanos/2019/08_set/txt/1.59839_1291.txt", "TXT")</f>
        <v/>
      </c>
    </row>
    <row r="1334">
      <c r="A1334" s="1" t="n">
        <v>1332</v>
      </c>
      <c r="B1334" t="n">
        <v>2019</v>
      </c>
      <c r="C1334" s="2" t="n">
        <v>43724.38608768518</v>
      </c>
      <c r="D1334" t="inlineStr">
        <is>
          <t>G1</t>
        </is>
      </c>
      <c r="E1334" t="inlineStr">
        <is>
          <t>VENEZUELANOS</t>
        </is>
      </c>
      <c r="F1334" t="inlineStr">
        <is>
          <t>MUNDO</t>
        </is>
      </c>
      <c r="G1334" t="inlineStr">
        <is>
          <t>G1</t>
        </is>
      </c>
      <c r="H1334" t="inlineStr">
        <is>
          <t>ESPANHA NEGA EXTRADIÇÃO DO EX-GENERAL VENEZUELANO HUGO CARVAJAL</t>
        </is>
      </c>
      <c r="I1334" t="inlineStr">
        <is>
          <t>ELE FOI PRESO POR POLICIAIS ESPANHÓIS EM ABRIL, A PEDIDO DE WASHINGTON, QUE ACREDITA QUE ELE POSSA COMPARTILHAR INFORMAÇÕES QUE POSSAM INCRIMINAR NICOLÁS MADURO.</t>
        </is>
      </c>
      <c r="J1334">
        <f>HYPERLINK("https://g1.globo.com/mundo/noticia/2019/09/16/espanha-nega-extradicao-do-ex-general-venezuelano-hugo-carvajal.ghtml", "URL")</f>
        <v/>
      </c>
      <c r="K1334">
        <f>HYPERLINK("https://raw.githubusercontent.com/marcosmapl/dataset_imigrantes/main/noticias_filtered/g1/venezuelanos/2019/08_set/html/g1_1648932e-231e-11ed-b24f-6dbe51e79fca_3539.html", "HTML")</f>
        <v/>
      </c>
      <c r="L1334">
        <f>HYPERLINK("https://raw.githubusercontent.com/marcosmapl/dataset_imigrantes/main/noticias_filtered/g1/venezuelanos/2019/08_set/txt/g1_1648932e-231e-11ed-b24f-6dbe51e79fca_3539.txt", "TXT")</f>
        <v/>
      </c>
    </row>
    <row r="1335">
      <c r="A1335" s="1" t="n">
        <v>1333</v>
      </c>
      <c r="B1335" t="n">
        <v>2019</v>
      </c>
      <c r="C1335" s="2" t="n">
        <v>43723.7449537037</v>
      </c>
      <c r="D1335" t="inlineStr">
        <is>
          <t>A CRITICA</t>
        </is>
      </c>
      <c r="E1335" t="inlineStr">
        <is>
          <t>VENEZUELANOS</t>
        </is>
      </c>
      <c r="F1335" t="inlineStr">
        <is>
          <t>ESPORTES</t>
        </is>
      </c>
      <c r="G1335" t="inlineStr">
        <is>
          <t>LUCAS HENRIQUE</t>
        </is>
      </c>
      <c r="H1335" t="inlineStr">
        <is>
          <t>SEGUNDA EDIÇÃO DA 'CORRIDA TV LAR' MOVIMENTA DOMINGO EM MANAUS</t>
        </is>
      </c>
      <c r="I1335" t="inlineStr">
        <is>
          <t>CENTENAS DE APAIXONADOS POR PROVAS DE RUA PARTICIPARAM DO EVENTO NA MANHÃ DE HOJE, QUE PREMIOU COMPETIDORES EM ATÉ R$ 3 MIL</t>
        </is>
      </c>
      <c r="J1335">
        <f>HYPERLINK("https://www.acritica.com/esportes/segunda-edic-o-da-corrida-tv-lar-movimenta-domingo-em-manaus-1.58920", "URL")</f>
        <v/>
      </c>
      <c r="K1335">
        <f>HYPERLINK("https://raw.githubusercontent.com/marcosmapl/dataset_imigrantes/main/noticias_filtered/a_critica/venezuelanos/2019/08_set/html/1.58920_397.html", "HTML")</f>
        <v/>
      </c>
      <c r="L1335">
        <f>HYPERLINK("https://raw.githubusercontent.com/marcosmapl/dataset_imigrantes/main/noticias_filtered/a_critica/venezuelanos/2019/08_set/txt/1.58920_397.txt", "TXT")</f>
        <v/>
      </c>
    </row>
    <row r="1336">
      <c r="A1336" s="1" t="n">
        <v>1334</v>
      </c>
      <c r="B1336" t="n">
        <v>2019</v>
      </c>
      <c r="C1336" s="2" t="n">
        <v>43722.91757212963</v>
      </c>
      <c r="D1336" t="inlineStr">
        <is>
          <t>G1</t>
        </is>
      </c>
      <c r="E1336" t="inlineStr">
        <is>
          <t>VENEZUELANOS</t>
        </is>
      </c>
      <c r="F1336" t="inlineStr">
        <is>
          <t>RORAIMA</t>
        </is>
      </c>
      <c r="G1336" t="inlineStr">
        <is>
          <t>G1 RR — BOA VISTA</t>
        </is>
      </c>
      <c r="H1336" t="inlineStr">
        <is>
          <t>BRASILEIRO AGARRA VENEZUELANA À FORÇA APÓS VÍTIMA PEDIR ÁGUA EM RESTAURANTE E ACABA PRESO EM RR</t>
        </is>
      </c>
      <c r="I1336" t="inlineStr">
        <is>
          <t>VÍTIMA CONTOU À FORÇA NACIONAL QUE SUSPEITO TOCOU EM SEU ÓRGÃO GENITAL LOGO APÓS LHE SERVIR A ÁGUA.</t>
        </is>
      </c>
      <c r="J1336">
        <f>HYPERLINK("https://g1.globo.com/rr/roraima/noticia/2019/09/14/brasileiro-agarra-venezuelana-a-forca-apos-vitima-pedir-agua-em-restaurante-e-acaba-preso-em-rr.ghtml", "URL")</f>
        <v/>
      </c>
      <c r="K1336">
        <f>HYPERLINK("https://raw.githubusercontent.com/marcosmapl/dataset_imigrantes/main/noticias_filtered/g1/venezuelanos/2019/08_set/html/g1_997f3a76-2324-11ed-b24f-6dbe51e79fca_3879.html", "HTML")</f>
        <v/>
      </c>
      <c r="L1336">
        <f>HYPERLINK("https://raw.githubusercontent.com/marcosmapl/dataset_imigrantes/main/noticias_filtered/g1/venezuelanos/2019/08_set/txt/g1_997f3a76-2324-11ed-b24f-6dbe51e79fca_3879.txt", "TXT")</f>
        <v/>
      </c>
    </row>
    <row r="1337">
      <c r="A1337" s="1" t="n">
        <v>1335</v>
      </c>
      <c r="B1337" t="n">
        <v>2019</v>
      </c>
      <c r="C1337" s="2" t="n">
        <v>43722.71041666667</v>
      </c>
      <c r="D1337" t="inlineStr">
        <is>
          <t>A CRITICA</t>
        </is>
      </c>
      <c r="E1337" t="inlineStr">
        <is>
          <t>VENEZUELANOS</t>
        </is>
      </c>
      <c r="F1337" t="inlineStr">
        <is>
          <t>OPINIAO</t>
        </is>
      </c>
      <c r="G1337" t="inlineStr">
        <is>
          <t>ORLANDO CÂMARA</t>
        </is>
      </c>
      <c r="H1337" t="inlineStr">
        <is>
          <t>POSSO FALAR COM O SENHOR?</t>
        </is>
      </c>
      <c r="I1337" t="inlineStr">
        <is>
          <t>TALVEZ OS PEDINTES NÃO SEJAM UM PROBLEMA, MAS UMA CONSEQUÊNCIA DA POBREZA EM QUE GRANDE PARTE DA POPULAÇÃO ESTÁ IMERGIDA.</t>
        </is>
      </c>
      <c r="J1337">
        <f>HYPERLINK("https://www.acritica.com/opiniao/posso-falar-com-o-senhor-1.216678", "URL")</f>
        <v/>
      </c>
      <c r="K1337">
        <f>HYPERLINK("https://raw.githubusercontent.com/marcosmapl/dataset_imigrantes/main/noticias_filtered/a_critica/venezuelanos/2019/08_set/html/1.216678_301.html", "HTML")</f>
        <v/>
      </c>
      <c r="L1337">
        <f>HYPERLINK("https://raw.githubusercontent.com/marcosmapl/dataset_imigrantes/main/noticias_filtered/a_critica/venezuelanos/2019/08_set/txt/1.216678_301.txt", "TXT")</f>
        <v/>
      </c>
    </row>
    <row r="1338">
      <c r="A1338" s="1" t="n">
        <v>1336</v>
      </c>
      <c r="B1338" t="n">
        <v>2019</v>
      </c>
      <c r="C1338" s="2" t="n">
        <v>43722.67744212963</v>
      </c>
      <c r="D1338" t="inlineStr">
        <is>
          <t>A CRITICA</t>
        </is>
      </c>
      <c r="E1338" t="inlineStr">
        <is>
          <t>VENEZUELANOS</t>
        </is>
      </c>
      <c r="F1338" t="inlineStr">
        <is>
          <t>MANAUS</t>
        </is>
      </c>
      <c r="G1338" t="inlineStr">
        <is>
          <t>PAULO ANDRÉ NUNES</t>
        </is>
      </c>
      <c r="H1338" t="inlineStr">
        <is>
          <t>'OPERAÇÃO ACOLHIDA' BENEFICIA VENEZUELANOS COM AÇÕES EM MANAUS</t>
        </is>
      </c>
      <c r="I1338" t="inlineStr">
        <is>
          <t>A META PRINCIPAL É ABRANGER A PARCELA DOS VENEZUELANOS QUE É 'INDOCUMENTADA', OU SEJA, QUE ESTÁ EM MANAUS SEM OS DOCUMENTOS NECESSÁRIOS PARA REGULARIZAÇÃO</t>
        </is>
      </c>
      <c r="J1338">
        <f>HYPERLINK("https://www.acritica.com/manaus/operac-o-acolhida-beneficia-venezuelanos-com-ac-es-em-manaus-1.58951", "URL")</f>
        <v/>
      </c>
      <c r="K1338">
        <f>HYPERLINK("https://raw.githubusercontent.com/marcosmapl/dataset_imigrantes/main/noticias_filtered/a_critica/venezuelanos/2019/08_set/html/1.58951_505.html", "HTML")</f>
        <v/>
      </c>
      <c r="L1338">
        <f>HYPERLINK("https://raw.githubusercontent.com/marcosmapl/dataset_imigrantes/main/noticias_filtered/a_critica/venezuelanos/2019/08_set/txt/1.58951_505.txt", "TXT")</f>
        <v/>
      </c>
    </row>
    <row r="1339">
      <c r="A1339" s="1" t="n">
        <v>1337</v>
      </c>
      <c r="B1339" t="n">
        <v>2019</v>
      </c>
      <c r="C1339" s="2" t="n">
        <v>43722.66112268518</v>
      </c>
      <c r="D1339" t="inlineStr">
        <is>
          <t>A CRITICA</t>
        </is>
      </c>
      <c r="E1339" t="inlineStr">
        <is>
          <t>VENEZUELANOS</t>
        </is>
      </c>
      <c r="F1339" t="inlineStr"/>
      <c r="G1339" t="inlineStr">
        <is>
          <t>AGÊNCIA BRASIL</t>
        </is>
      </c>
      <c r="H1339" t="inlineStr">
        <is>
          <t>NOS EUA, CHANCELER BRASILEIRO REFORÇA SOBERANIA DA AMAZÔNIA</t>
        </is>
      </c>
      <c r="I1339" t="inlineStr">
        <is>
          <t>O SECRETÁRIO DE ESTADO NORTE-AMERICANO, MIKE POMPEO DESTACOU QUE, SOB A LIDERANÇA DO PRESIDENTE JAIR BOLSONARO, O BRASIL ENTRA EM UMA NOVA ERA DE PROSPERIDADE E CRESCIMENTO</t>
        </is>
      </c>
      <c r="J1339">
        <f>HYPERLINK("https://www.acritica.com/nos-eua-chanceler-brasileiro-reforca-soberania-da-amazonia-1.58958", "URL")</f>
        <v/>
      </c>
      <c r="K1339">
        <f>HYPERLINK("https://raw.githubusercontent.com/marcosmapl/dataset_imigrantes/main/noticias_filtered/a_critica/venezuelanos/2019/08_set/html/1.58958_448.html", "HTML")</f>
        <v/>
      </c>
      <c r="L1339">
        <f>HYPERLINK("https://raw.githubusercontent.com/marcosmapl/dataset_imigrantes/main/noticias_filtered/a_critica/venezuelanos/2019/08_set/txt/1.58958_448.txt", "TXT")</f>
        <v/>
      </c>
    </row>
    <row r="1340">
      <c r="A1340" s="1" t="n">
        <v>1338</v>
      </c>
      <c r="B1340" t="n">
        <v>2019</v>
      </c>
      <c r="C1340" s="2" t="n">
        <v>43721.79985732639</v>
      </c>
      <c r="D1340" t="inlineStr">
        <is>
          <t>G1</t>
        </is>
      </c>
      <c r="E1340" t="inlineStr">
        <is>
          <t>HAITIANOS</t>
        </is>
      </c>
      <c r="F1340" t="inlineStr">
        <is>
          <t>SANTA CATARINA</t>
        </is>
      </c>
      <c r="G1340" t="inlineStr">
        <is>
          <t>G1 SC</t>
        </is>
      </c>
      <c r="H1340" t="inlineStr">
        <is>
          <t>HAITIANO É PRESO SUSPEITO DE ESTUPRAR JOVEM EM SÃO BENTO DO SUL, NORTE DE SANTA CATARINA</t>
        </is>
      </c>
      <c r="I1340" t="inlineStr">
        <is>
          <t>MULHER ACIONOU POLÍCIA NA NOITE DE QUINTA-FEIRA (12). SUSPEITO, QUE É HAITIANO, NEGA QUE COMETEU CRIME.</t>
        </is>
      </c>
      <c r="J1340">
        <f>HYPERLINK("https://g1.globo.com/sc/santa-catarina/noticia/2019/09/13/haitiano-e-preso-suspeito-de-estuprar-jovem-em-sao-bento-do-sul-norte-de-santa-catarina.ghtml", "URL")</f>
        <v/>
      </c>
      <c r="K1340">
        <f>HYPERLINK("https://raw.githubusercontent.com/marcosmapl/dataset_imigrantes/main/noticias_filtered/g1/haitianos/2019/08_set/html/g1_680fbc40-22f2-11ed-b24f-6dbe51e79fca_1795.html", "HTML")</f>
        <v/>
      </c>
      <c r="L1340">
        <f>HYPERLINK("https://raw.githubusercontent.com/marcosmapl/dataset_imigrantes/main/noticias_filtered/g1/haitianos/2019/08_set/txt/g1_680fbc40-22f2-11ed-b24f-6dbe51e79fca_1795.txt", "TXT")</f>
        <v/>
      </c>
    </row>
    <row r="1341">
      <c r="A1341" s="1" t="n">
        <v>1339</v>
      </c>
      <c r="B1341" t="n">
        <v>2019</v>
      </c>
      <c r="C1341" s="2" t="n">
        <v>43721.04028563658</v>
      </c>
      <c r="D1341" t="inlineStr">
        <is>
          <t>G1</t>
        </is>
      </c>
      <c r="E1341" t="inlineStr">
        <is>
          <t>HAITIANOS</t>
        </is>
      </c>
      <c r="F1341" t="inlineStr">
        <is>
          <t>SANTA CATARINA</t>
        </is>
      </c>
      <c r="G1341" t="inlineStr">
        <is>
          <t>G1 SC</t>
        </is>
      </c>
      <c r="H1341" t="inlineStr">
        <is>
          <t>JUSTIÇA DE SC ADIA JULGAMENTO DE HAITIANO ACUSADO DE TENTAR MATAR COMPANHEIRA POR CONSIDERAR RÉU INDEFESO</t>
        </is>
      </c>
      <c r="I1341" t="inlineStr">
        <is>
          <t>JUIZ CONSIDEROU DEFESA DO RÉU INADEQUADA E JÁ NOMEOU OUTRA PESSOA. MULHER LEVOU VÁRIAS FACADAS QUANDO SAÍA DO TRABALHO EM JANEIRO DE 2018.</t>
        </is>
      </c>
      <c r="J1341">
        <f>HYPERLINK("https://g1.globo.com/sc/santa-catarina/noticia/2019/09/12/justica-de-sc-adia-julgamento-de-haitiano-acusado-de-tentar-matar-companheira-por-considerar-reu-indefeso.ghtml", "URL")</f>
        <v/>
      </c>
      <c r="K1341">
        <f>HYPERLINK("https://raw.githubusercontent.com/marcosmapl/dataset_imigrantes/main/noticias_filtered/g1/haitianos/2019/08_set/html/g1_d316a7f6-22b1-11ed-b24f-6dbe51e79fca_1637.html", "HTML")</f>
        <v/>
      </c>
      <c r="L1341">
        <f>HYPERLINK("https://raw.githubusercontent.com/marcosmapl/dataset_imigrantes/main/noticias_filtered/g1/haitianos/2019/08_set/txt/g1_d316a7f6-22b1-11ed-b24f-6dbe51e79fca_1637.txt", "TXT")</f>
        <v/>
      </c>
    </row>
    <row r="1342">
      <c r="A1342" s="1" t="n">
        <v>1340</v>
      </c>
      <c r="B1342" t="n">
        <v>2019</v>
      </c>
      <c r="C1342" s="2" t="n">
        <v>43720.47367759259</v>
      </c>
      <c r="D1342" t="inlineStr">
        <is>
          <t>G1</t>
        </is>
      </c>
      <c r="E1342" t="inlineStr">
        <is>
          <t>VENEZUELANOS</t>
        </is>
      </c>
      <c r="F1342" t="inlineStr">
        <is>
          <t>MUNDO</t>
        </is>
      </c>
      <c r="G1342" t="inlineStr">
        <is>
          <t>G1</t>
        </is>
      </c>
      <c r="H1342" t="inlineStr">
        <is>
          <t>EUA, BRASIL, COLÔMBIA E GUAIDÓ TENTAM INVOCAR TRATADO REGIONAL CONTRA MADURO</t>
        </is>
      </c>
      <c r="I1342" t="inlineStr">
        <is>
          <t>PAÍSES QUEREM APROVAR NA OEA MEDIDA PARA CLASSIFICAR DE AÇÃO BELICOSA A MOVIMENTAÇÃO MILITAR VENEZUELANA PERTO DA FRONTEIRA COM A COLÔMBIA.</t>
        </is>
      </c>
      <c r="J1342">
        <f>HYPERLINK("https://g1.globo.com/mundo/noticia/2019/09/12/eua-invocam-tratado-regional-de-defesa-diante-de-ameaca-da-venezuela.ghtml", "URL")</f>
        <v/>
      </c>
      <c r="K1342">
        <f>HYPERLINK("https://raw.githubusercontent.com/marcosmapl/dataset_imigrantes/main/noticias_filtered/g1/venezuelanos/2019/08_set/html/g1_e8264886-2306-11ed-b24f-6dbe51e79fca_2285.html", "HTML")</f>
        <v/>
      </c>
      <c r="L1342">
        <f>HYPERLINK("https://raw.githubusercontent.com/marcosmapl/dataset_imigrantes/main/noticias_filtered/g1/venezuelanos/2019/08_set/txt/g1_e8264886-2306-11ed-b24f-6dbe51e79fca_2285.txt", "TXT")</f>
        <v/>
      </c>
    </row>
    <row r="1343">
      <c r="A1343" s="1" t="n">
        <v>1341</v>
      </c>
      <c r="B1343" t="n">
        <v>2019</v>
      </c>
      <c r="C1343" s="2" t="n">
        <v>43719.83676314815</v>
      </c>
      <c r="D1343" t="inlineStr">
        <is>
          <t>G1</t>
        </is>
      </c>
      <c r="E1343" t="inlineStr">
        <is>
          <t>HAITIANOS</t>
        </is>
      </c>
      <c r="F1343" t="inlineStr">
        <is>
          <t>MATO GROSSO</t>
        </is>
      </c>
      <c r="G1343" t="inlineStr">
        <is>
          <t>G1 MT</t>
        </is>
      </c>
      <c r="H1343" t="inlineStr">
        <is>
          <t>POLICIAL ATINGIDO POR HAITIANO QUE MORREU EM CONFRONTO RECEBE ALTA MÉDICA EM CUIABÁ</t>
        </is>
      </c>
      <c r="I1343" t="inlineStr">
        <is>
          <t>A CORREGEDORIA DA POLÍCIA MILITAR ESTÁ ACOMPANHANDO A OCORRÊNCIA E INSTAURARÁ PROCEDIMENTO PARA APURAR A CONDUTA DOS POLICIAIS.</t>
        </is>
      </c>
      <c r="J1343">
        <f>HYPERLINK("https://g1.globo.com/mt/mato-grosso/noticia/2019/09/11/policial-atingido-por-haitiano-que-morreu-em-confronto-recebe-alta-medica-em-cuiaba.ghtml", "URL")</f>
        <v/>
      </c>
      <c r="K1343">
        <f>HYPERLINK("https://raw.githubusercontent.com/marcosmapl/dataset_imigrantes/main/noticias_filtered/g1/haitianos/2019/08_set/html/g1_df0151a4-22ae-11ed-b24f-6dbe51e79fca_1629.html", "HTML")</f>
        <v/>
      </c>
      <c r="L1343">
        <f>HYPERLINK("https://raw.githubusercontent.com/marcosmapl/dataset_imigrantes/main/noticias_filtered/g1/haitianos/2019/08_set/txt/g1_df0151a4-22ae-11ed-b24f-6dbe51e79fca_1629.txt", "TXT")</f>
        <v/>
      </c>
    </row>
    <row r="1344">
      <c r="A1344" s="1" t="n">
        <v>1342</v>
      </c>
      <c r="B1344" t="n">
        <v>2019</v>
      </c>
      <c r="C1344" s="2" t="n">
        <v>43718.87290394676</v>
      </c>
      <c r="D1344" t="inlineStr">
        <is>
          <t>G1</t>
        </is>
      </c>
      <c r="E1344" t="inlineStr">
        <is>
          <t>HAITIANOS</t>
        </is>
      </c>
      <c r="F1344" t="inlineStr">
        <is>
          <t>MATO GROSSO</t>
        </is>
      </c>
      <c r="G1344" t="inlineStr">
        <is>
          <t>G1 MT</t>
        </is>
      </c>
      <c r="H1344" t="inlineStr">
        <is>
          <t>HAITIANO COM PROBLEMAS PSIQUIÁTRICOS DÁ FACADA NA CABEÇA DE POLICIAL E É MORTO A TIROS EM CUIABÁ</t>
        </is>
      </c>
      <c r="I1344" t="inlineStr">
        <is>
          <t>DOIS POLICIAIS MILITARES FORAM ATENDER A OCORRÊNCIA QUANDO, SEGUNDO O BOLETIM DE OCORRÊNCIA, O HAITIANO SAIU DO QUARTO, PEGOU UMA FACA QUE ESTAVA ESCONDIDA E PATIU PARA CIMA DE UM DOS POLICIAIS.</t>
        </is>
      </c>
      <c r="J1344">
        <f>HYPERLINK("https://g1.globo.com/mt/mato-grosso/noticia/2019/09/10/haitiano-com-problemas-psiquiatricos-da-facada-na-cabeca-de-policial-e-e-morto-a-tiros-em-cuiaba.ghtml", "URL")</f>
        <v/>
      </c>
      <c r="K1344">
        <f>HYPERLINK("https://raw.githubusercontent.com/marcosmapl/dataset_imigrantes/main/noticias_filtered/g1/haitianos/2019/08_set/html/g1_fe4c4d06-22fa-11ed-b24f-6dbe51e79fca_2255.html", "HTML")</f>
        <v/>
      </c>
      <c r="L1344">
        <f>HYPERLINK("https://raw.githubusercontent.com/marcosmapl/dataset_imigrantes/main/noticias_filtered/g1/haitianos/2019/08_set/txt/g1_fe4c4d06-22fa-11ed-b24f-6dbe51e79fca_2255.txt", "TXT")</f>
        <v/>
      </c>
    </row>
    <row r="1345">
      <c r="A1345" s="1" t="n">
        <v>1343</v>
      </c>
      <c r="B1345" t="n">
        <v>2019</v>
      </c>
      <c r="C1345" s="2" t="n">
        <v>43718.6544984375</v>
      </c>
      <c r="D1345" t="inlineStr">
        <is>
          <t>G1</t>
        </is>
      </c>
      <c r="E1345" t="inlineStr">
        <is>
          <t>VENEZUELANOS</t>
        </is>
      </c>
      <c r="F1345" t="inlineStr">
        <is>
          <t>MATO GROSSO DO SUL</t>
        </is>
      </c>
      <c r="G1345" t="inlineStr">
        <is>
          <t>FLÁVIO DIAS, G1 MS — CAMPO GRANDE</t>
        </is>
      </c>
      <c r="H1345" t="inlineStr">
        <is>
          <t>VENEZUELANO É PRESO APÓS TENTAR BEIJAR MÉDICA E DAR TAPA NO BUMBUM DELA DENTRO DE POSTO DE SAÚDE EM MS</t>
        </is>
      </c>
      <c r="I1345" t="inlineStr">
        <is>
          <t>DE ACORDO COM GUARDA MUNICIPAL, SUSPEITO AINDA PUXOU CABELO DA PROFISSIONAL. ELE FOI PRESO E ENCAMINHADO PARA A DELEGACIA DA MULHER, EM DOURADOS.</t>
        </is>
      </c>
      <c r="J1345">
        <f>HYPERLINK("https://g1.globo.com/ms/mato-grosso-do-sul/noticia/2019/09/10/venezuelano-e-preso-apos-tentar-beijar-medica-e-dar-tapa-no-bumbum-dela-dentro-de-posto-de-saude-em-ms.ghtml", "URL")</f>
        <v/>
      </c>
      <c r="K1345">
        <f>HYPERLINK("https://raw.githubusercontent.com/marcosmapl/dataset_imigrantes/main/noticias_filtered/g1/venezuelanos/2019/08_set/html/g1_2c7a8fd6-231d-11ed-b24f-6dbe51e79fca_3487.html", "HTML")</f>
        <v/>
      </c>
      <c r="L1345">
        <f>HYPERLINK("https://raw.githubusercontent.com/marcosmapl/dataset_imigrantes/main/noticias_filtered/g1/venezuelanos/2019/08_set/txt/g1_2c7a8fd6-231d-11ed-b24f-6dbe51e79fca_3487.txt", "TXT")</f>
        <v/>
      </c>
    </row>
    <row r="1346">
      <c r="A1346" s="1" t="n">
        <v>1344</v>
      </c>
      <c r="B1346" t="n">
        <v>2019</v>
      </c>
      <c r="C1346" s="2" t="n">
        <v>43718.46194444445</v>
      </c>
      <c r="D1346" t="inlineStr">
        <is>
          <t>A CRITICA</t>
        </is>
      </c>
      <c r="E1346" t="inlineStr">
        <is>
          <t>VENEZUELANOS</t>
        </is>
      </c>
      <c r="F1346" t="inlineStr"/>
      <c r="G1346" t="inlineStr"/>
      <c r="H1346" t="inlineStr">
        <is>
          <t>DEPUTADO USA ‘BOTS’ NAS REDES</t>
        </is>
      </c>
      <c r="I1346" t="inlineStr"/>
      <c r="J1346">
        <f>HYPERLINK("https://www.acritica.com/deputado-usa-bots-nas-redes-1.227258", "URL")</f>
        <v/>
      </c>
      <c r="K1346">
        <f>HYPERLINK("https://raw.githubusercontent.com/marcosmapl/dataset_imigrantes/main/noticias_filtered/a_critica/venezuelanos/2019/08_set/html/1.227258_220.html", "HTML")</f>
        <v/>
      </c>
      <c r="L1346">
        <f>HYPERLINK("https://raw.githubusercontent.com/marcosmapl/dataset_imigrantes/main/noticias_filtered/a_critica/venezuelanos/2019/08_set/txt/1.227258_220.txt", "TXT")</f>
        <v/>
      </c>
    </row>
    <row r="1347">
      <c r="A1347" s="1" t="n">
        <v>1345</v>
      </c>
      <c r="B1347" t="n">
        <v>2019</v>
      </c>
      <c r="C1347" s="2" t="n">
        <v>43717.6462483912</v>
      </c>
      <c r="D1347" t="inlineStr">
        <is>
          <t>G1</t>
        </is>
      </c>
      <c r="E1347" t="inlineStr">
        <is>
          <t>AMBOS</t>
        </is>
      </c>
      <c r="F1347" t="inlineStr">
        <is>
          <t>CAMPINAS E REGIÃO</t>
        </is>
      </c>
      <c r="G1347" t="inlineStr">
        <is>
          <t>G1 CAMPINAS E REGIÃO E EPTV</t>
        </is>
      </c>
      <c r="H1347" t="inlineStr">
        <is>
          <t>CAMPINAS É MORADIA PARA 13 MIL ESTRANGEIROS, DIZ ONU; HAITIANOS E VENEZUELANOS LIDERAM IMIGRAÇÕES</t>
        </is>
      </c>
      <c r="I1347" t="inlineStr">
        <is>
          <t>SITUAÇÃO POLÍTICA E ECONÔMICA DO PAÍS DE ORIGEM É O PRINCIPAL MOTIVO DA MUDANÇA DEFINITIVA PARA O BRASIL, DISSE A PREFEITURA.</t>
        </is>
      </c>
      <c r="J1347">
        <f>HYPERLINK("https://g1.globo.com/sp/campinas-regiao/noticia/2019/09/09/campinas-e-moradia-para-13-mil-estrangeiros-diz-onu-haitianos-e-venezuelanos-lideram-imigracoes.ghtml", "URL")</f>
        <v/>
      </c>
      <c r="K1347">
        <f>HYPERLINK("https://raw.githubusercontent.com/marcosmapl/dataset_imigrantes/main/noticias_filtered/g1/ambos/2019/08_set/html/g1_7e54cf76-22f3-11ed-b24f-6dbe51e79fca_1843.html", "HTML")</f>
        <v/>
      </c>
      <c r="L1347">
        <f>HYPERLINK("https://raw.githubusercontent.com/marcosmapl/dataset_imigrantes/main/noticias_filtered/g1/ambos/2019/08_set/txt/g1_7e54cf76-22f3-11ed-b24f-6dbe51e79fca_1843.txt", "TXT")</f>
        <v/>
      </c>
    </row>
    <row r="1348">
      <c r="A1348" s="1" t="n">
        <v>1346</v>
      </c>
      <c r="B1348" t="n">
        <v>2019</v>
      </c>
      <c r="C1348" s="2" t="n">
        <v>43717.57152777778</v>
      </c>
      <c r="D1348" t="inlineStr">
        <is>
          <t>A CRITICA</t>
        </is>
      </c>
      <c r="E1348" t="inlineStr">
        <is>
          <t>VENEZUELANOS</t>
        </is>
      </c>
      <c r="F1348" t="inlineStr">
        <is>
          <t>MANAUS</t>
        </is>
      </c>
      <c r="G1348" t="inlineStr">
        <is>
          <t>IZABEL GUEDES</t>
        </is>
      </c>
      <c r="H1348" t="inlineStr">
        <is>
          <t>ABRIGO PROCURA VOLUNTÁRIOS E DOADORES PARA FABRICAÇÃO DE ENXOVAIS DE MÃES CARENTES</t>
        </is>
      </c>
      <c r="I1348" t="inlineStr">
        <is>
          <t>MALHA PARA 'CONJUNTINHOS', LINHA DE COSTURA, ELÁSTICO E MUITA DISPOSIÇÃO, COMPÕE A LISTA DE PEDIDOS DE AJUDA DO ABRIGO 'LAR BATISTA JANELL DOYLE'</t>
        </is>
      </c>
      <c r="J1348">
        <f>HYPERLINK("https://www.acritica.com/manaus/abrigo-procura-voluntarios-e-doadores-para-fabricac-o-de-enxovais-de-m-es-carentes-1.59084", "URL")</f>
        <v/>
      </c>
      <c r="K1348">
        <f>HYPERLINK("https://raw.githubusercontent.com/marcosmapl/dataset_imigrantes/main/noticias_filtered/a_critica/venezuelanos/2019/08_set/html/1.59084_314.html", "HTML")</f>
        <v/>
      </c>
      <c r="L1348">
        <f>HYPERLINK("https://raw.githubusercontent.com/marcosmapl/dataset_imigrantes/main/noticias_filtered/a_critica/venezuelanos/2019/08_set/txt/1.59084_314.txt", "TXT")</f>
        <v/>
      </c>
    </row>
    <row r="1349">
      <c r="A1349" s="1" t="n">
        <v>1347</v>
      </c>
      <c r="B1349" t="n">
        <v>2019</v>
      </c>
      <c r="C1349" s="2" t="n">
        <v>43714.70246116898</v>
      </c>
      <c r="D1349" t="inlineStr">
        <is>
          <t>G1</t>
        </is>
      </c>
      <c r="E1349" t="inlineStr">
        <is>
          <t>VENEZUELANOS</t>
        </is>
      </c>
      <c r="F1349" t="inlineStr">
        <is>
          <t>MUNDO</t>
        </is>
      </c>
      <c r="G1349" t="inlineStr">
        <is>
          <t>FRANCE PRESSE</t>
        </is>
      </c>
      <c r="H1349" t="inlineStr">
        <is>
          <t>PROCURADORIA VENEZUELANA ANUNCIA INVESTIGAÇÃO CONTRA GUAIDÓ POR TRAIÇÃO</t>
        </is>
      </c>
      <c r="I1349" t="inlineStr">
        <is>
          <t>ACUSAÇÃO É DE ESTAR POR TRÁS DE UM PLANO DE RENUNCIAR A ESEQUIBO, UM TERRITÓRIO DA GUIANA RICO EM RECURSOS QUE CARACAS DIZ SER SEU.</t>
        </is>
      </c>
      <c r="J1349">
        <f>HYPERLINK("https://g1.globo.com/mundo/noticia/2019/09/06/procuradoria-venezuelana-anuncia-investigacao-contra-guaido-por-traicao.ghtml", "URL")</f>
        <v/>
      </c>
      <c r="K1349">
        <f>HYPERLINK("https://raw.githubusercontent.com/marcosmapl/dataset_imigrantes/main/noticias_filtered/g1/venezuelanos/2019/08_set/html/g1_ea8dffa8-2313-11ed-b24f-6dbe51e79fca_3035.html", "HTML")</f>
        <v/>
      </c>
      <c r="L1349">
        <f>HYPERLINK("https://raw.githubusercontent.com/marcosmapl/dataset_imigrantes/main/noticias_filtered/g1/venezuelanos/2019/08_set/txt/g1_ea8dffa8-2313-11ed-b24f-6dbe51e79fca_3035.txt", "TXT")</f>
        <v/>
      </c>
    </row>
    <row r="1350">
      <c r="A1350" s="1" t="n">
        <v>1348</v>
      </c>
      <c r="B1350" t="n">
        <v>2019</v>
      </c>
      <c r="C1350" s="2" t="n">
        <v>43713.83342072917</v>
      </c>
      <c r="D1350" t="inlineStr">
        <is>
          <t>G1</t>
        </is>
      </c>
      <c r="E1350" t="inlineStr">
        <is>
          <t>HAITIANOS</t>
        </is>
      </c>
      <c r="F1350" t="inlineStr">
        <is>
          <t>MUNDO</t>
        </is>
      </c>
      <c r="G1350" t="inlineStr">
        <is>
          <t>LETÍCIA MACEDO, G1</t>
        </is>
      </c>
      <c r="H1350" t="inlineStr">
        <is>
          <t>AJUDA APÓS FURACÃO NAS BAHAMAS AINDA É INSUFICIENTE, DIZ VOLUNTÁRIA QUE MORA NO ARQUIPÉLAGO</t>
        </is>
      </c>
      <c r="I1350" t="inlineStr">
        <is>
          <t>ORGANIZAÇÃO DAS NAÇÕES UNIDAS (ONU) AVALIA QUE 76 MIL PESSOAS FORAM AFETADAS NA PASSAGEM DO FURACÃO DORIAN PELO ARQUIPÉLAGO DO ATLÂNTICO.</t>
        </is>
      </c>
      <c r="J1350">
        <f>HYPERLINK("https://g1.globo.com/mundo/noticia/2019/09/05/ajuda-apos-furacao-nas-bahamas-ainda-e-insuficiente-diz-voluntaria-que-mora-no-arquipelago.ghtml", "URL")</f>
        <v/>
      </c>
      <c r="K1350">
        <f>HYPERLINK("https://raw.githubusercontent.com/marcosmapl/dataset_imigrantes/main/noticias_filtered/g1/haitianos/2019/08_set/html/g1_57d3c4d6-2318-11ed-b24f-6dbe51e79fca_3254.html", "HTML")</f>
        <v/>
      </c>
      <c r="L1350">
        <f>HYPERLINK("https://raw.githubusercontent.com/marcosmapl/dataset_imigrantes/main/noticias_filtered/g1/haitianos/2019/08_set/txt/g1_57d3c4d6-2318-11ed-b24f-6dbe51e79fca_3254.txt", "TXT")</f>
        <v/>
      </c>
    </row>
    <row r="1351">
      <c r="A1351" s="1" t="n">
        <v>1349</v>
      </c>
      <c r="B1351" t="n">
        <v>2019</v>
      </c>
      <c r="C1351" s="2" t="n">
        <v>43713.77693648148</v>
      </c>
      <c r="D1351" t="inlineStr">
        <is>
          <t>G1</t>
        </is>
      </c>
      <c r="E1351" t="inlineStr">
        <is>
          <t>VENEZUELANOS</t>
        </is>
      </c>
      <c r="F1351" t="inlineStr">
        <is>
          <t>RORAIMA</t>
        </is>
      </c>
      <c r="G1351" t="inlineStr">
        <is>
          <t>FRANCE PRESSE</t>
        </is>
      </c>
      <c r="H1351" t="inlineStr">
        <is>
          <t>'SITUAÇÃO DE INDÍGENAS VENEZUELANOS NO BRASIL É TRÁGICA', DIZ ACNUR</t>
        </is>
      </c>
      <c r="I1351" t="inlineStr">
        <is>
          <t>RORAIMA TEM QUASE 1.800 INDÍGENAS VENEZUELANOS EM ABRIGOS.</t>
        </is>
      </c>
      <c r="J1351">
        <f>HYPERLINK("https://g1.globo.com/rr/roraima/noticia/2019/09/05/situacao-de-indigenas-venezuelanos-no-brasil-e-tragica-diz-acnur.ghtml", "URL")</f>
        <v/>
      </c>
      <c r="K1351">
        <f>HYPERLINK("https://raw.githubusercontent.com/marcosmapl/dataset_imigrantes/main/noticias_filtered/g1/venezuelanos/2019/08_set/html/g1_29b19252-2315-11ed-b24f-6dbe51e79fca_3071.html", "HTML")</f>
        <v/>
      </c>
      <c r="L1351">
        <f>HYPERLINK("https://raw.githubusercontent.com/marcosmapl/dataset_imigrantes/main/noticias_filtered/g1/venezuelanos/2019/08_set/txt/g1_29b19252-2315-11ed-b24f-6dbe51e79fca_3071.txt", "TXT")</f>
        <v/>
      </c>
    </row>
    <row r="1352">
      <c r="A1352" s="1" t="n">
        <v>1350</v>
      </c>
      <c r="B1352" t="n">
        <v>2019</v>
      </c>
      <c r="C1352" s="2" t="n">
        <v>43713.68258585648</v>
      </c>
      <c r="D1352" t="inlineStr">
        <is>
          <t>G1</t>
        </is>
      </c>
      <c r="E1352" t="inlineStr">
        <is>
          <t>VENEZUELANOS</t>
        </is>
      </c>
      <c r="F1352" t="inlineStr">
        <is>
          <t>SOROCABA E JUNDIAÍ</t>
        </is>
      </c>
      <c r="G1352" t="inlineStr">
        <is>
          <t>G1 SOROCABA E JUNDIAÍ</t>
        </is>
      </c>
      <c r="H1352" t="inlineStr">
        <is>
          <t>VENEZUELANA PRESA POR FURTAR CALCINHAS ESTAVA COM 75 PEÇAS, DIZ POLÍCIA</t>
        </is>
      </c>
      <c r="I1352" t="inlineStr">
        <is>
          <t>DANIELA PAOLA LEMOS FOI DETIDA EM SÃO ROQUE (SP) E TEVE A PRISÃO PREVENTIVA DECRETADA PELO TRIBUNAL DE JUSTIÇA DE SÃO PAULO (TJ-SP).</t>
        </is>
      </c>
      <c r="J1352">
        <f>HYPERLINK("https://g1.globo.com/sp/sorocaba-jundiai/noticia/2019/09/05/venezuelana-presa-por-furtar-calcinhas-estava-com-75-pecas-diz-policia.ghtml", "URL")</f>
        <v/>
      </c>
      <c r="K1352">
        <f>HYPERLINK("https://raw.githubusercontent.com/marcosmapl/dataset_imigrantes/main/noticias_filtered/g1/venezuelanos/2019/08_set/html/g1_8c2985ea-2309-11ed-b24f-6dbe51e79fca_2451.html", "HTML")</f>
        <v/>
      </c>
      <c r="L1352">
        <f>HYPERLINK("https://raw.githubusercontent.com/marcosmapl/dataset_imigrantes/main/noticias_filtered/g1/venezuelanos/2019/08_set/txt/g1_8c2985ea-2309-11ed-b24f-6dbe51e79fca_2451.txt", "TXT")</f>
        <v/>
      </c>
    </row>
    <row r="1353">
      <c r="A1353" s="1" t="n">
        <v>1351</v>
      </c>
      <c r="B1353" t="n">
        <v>2019</v>
      </c>
      <c r="C1353" s="2" t="n">
        <v>43713.61630722222</v>
      </c>
      <c r="D1353" t="inlineStr">
        <is>
          <t>G1</t>
        </is>
      </c>
      <c r="E1353" t="inlineStr">
        <is>
          <t>HAITIANOS</t>
        </is>
      </c>
      <c r="F1353" t="inlineStr">
        <is>
          <t>MUNDO</t>
        </is>
      </c>
      <c r="G1353" t="inlineStr">
        <is>
          <t>G1</t>
        </is>
      </c>
      <c r="H1353" t="inlineStr">
        <is>
          <t>IMAGENS DO DIA 5 DE SETEMBRO DE 2019</t>
        </is>
      </c>
      <c r="I1353" t="inlineStr">
        <is>
          <t>IMAGENS DO DIA 5 DE SETEMBRO DE 2019</t>
        </is>
      </c>
      <c r="J1353">
        <f>HYPERLINK("https://g1.globo.com/mundo/noticia/2019/09/05/imagens-do-dia-5-de-setembro-de-2019.ghtml", "URL")</f>
        <v/>
      </c>
      <c r="K1353">
        <f>HYPERLINK("https://raw.githubusercontent.com/marcosmapl/dataset_imigrantes/main/noticias_filtered/g1/haitianos/2019/08_set/html/g1_3a46fcfc-231e-11ed-b24f-6dbe51e79fca_3548.html", "HTML")</f>
        <v/>
      </c>
      <c r="L1353">
        <f>HYPERLINK("https://raw.githubusercontent.com/marcosmapl/dataset_imigrantes/main/noticias_filtered/g1/haitianos/2019/08_set/txt/g1_3a46fcfc-231e-11ed-b24f-6dbe51e79fca_3548.txt", "TXT")</f>
        <v/>
      </c>
    </row>
    <row r="1354">
      <c r="A1354" s="1" t="n">
        <v>1352</v>
      </c>
      <c r="B1354" t="n">
        <v>2019</v>
      </c>
      <c r="C1354" s="2" t="n">
        <v>43712.60276436342</v>
      </c>
      <c r="D1354" t="inlineStr">
        <is>
          <t>G1</t>
        </is>
      </c>
      <c r="E1354" t="inlineStr">
        <is>
          <t>VENEZUELANOS</t>
        </is>
      </c>
      <c r="F1354" t="inlineStr">
        <is>
          <t>SANTA CATARINA</t>
        </is>
      </c>
      <c r="G1354" t="inlineStr">
        <is>
          <t>G1 SC</t>
        </is>
      </c>
      <c r="H1354" t="inlineStr">
        <is>
          <t>CRIANÇA VENEZUELANA DE DOIS ANOS MORRE EM AÇUDE DE GUATAMBÚ</t>
        </is>
      </c>
      <c r="I1354" t="inlineStr">
        <is>
          <t>YANNELIS CERMENO ACOSTA FOI ENCONTRADA DESACORDADA. FAMÍLIA ESTAVA HÁ DEZ DIAS NO BRASIL EM BUSCA DE EMPREGO.</t>
        </is>
      </c>
      <c r="J1354">
        <f>HYPERLINK("https://g1.globo.com/sc/santa-catarina/noticia/2019/09/04/crianca-venezuelana-de-dois-anos-morre-em-acude-de-guatambu.ghtml", "URL")</f>
        <v/>
      </c>
      <c r="K1354">
        <f>HYPERLINK("https://raw.githubusercontent.com/marcosmapl/dataset_imigrantes/main/noticias_filtered/g1/venezuelanos/2019/08_set/html/g1_a516de0c-2306-11ed-b24f-6dbe51e79fca_2270.html", "HTML")</f>
        <v/>
      </c>
      <c r="L1354">
        <f>HYPERLINK("https://raw.githubusercontent.com/marcosmapl/dataset_imigrantes/main/noticias_filtered/g1/venezuelanos/2019/08_set/txt/g1_a516de0c-2306-11ed-b24f-6dbe51e79fca_2270.txt", "TXT")</f>
        <v/>
      </c>
    </row>
    <row r="1355">
      <c r="A1355" s="1" t="n">
        <v>1353</v>
      </c>
      <c r="B1355" t="n">
        <v>2019</v>
      </c>
      <c r="C1355" s="2" t="n">
        <v>43712.59163810185</v>
      </c>
      <c r="D1355" t="inlineStr">
        <is>
          <t>G1</t>
        </is>
      </c>
      <c r="E1355" t="inlineStr">
        <is>
          <t>VENEZUELANOS</t>
        </is>
      </c>
      <c r="F1355" t="inlineStr">
        <is>
          <t>SOROCABA E JUNDIAÍ</t>
        </is>
      </c>
      <c r="G1355" t="inlineStr">
        <is>
          <t>G1 SOROCABA E JUNDIAÍ</t>
        </is>
      </c>
      <c r="H1355" t="inlineStr">
        <is>
          <t>VENEZUELANA É PRESA APÓS FURTAR CALCINHAS EM LOJA DE SÃO ROQUE</t>
        </is>
      </c>
      <c r="I1355" t="inlineStr">
        <is>
          <t>MULHER DISSE QUE SAIU DE SÃO PAULO (SP) COM O NAMORADO E COM UM CONHECIDO PARA FURTAR COMÉRCIOS. OUTROS DOIS SUSPEITOS NÃO FORAM LOCALIZADOS.</t>
        </is>
      </c>
      <c r="J1355">
        <f>HYPERLINK("https://g1.globo.com/sp/sorocaba-jundiai/noticia/2019/09/04/venezuelana-e-presa-apos-furtar-calcinhas-em-loja-de-sao-roque.ghtml", "URL")</f>
        <v/>
      </c>
      <c r="K1355">
        <f>HYPERLINK("https://raw.githubusercontent.com/marcosmapl/dataset_imigrantes/main/noticias_filtered/g1/venezuelanos/2019/08_set/html/g1_bab7583c-2323-11ed-b24f-6dbe51e79fca_3825.html", "HTML")</f>
        <v/>
      </c>
      <c r="L1355">
        <f>HYPERLINK("https://raw.githubusercontent.com/marcosmapl/dataset_imigrantes/main/noticias_filtered/g1/venezuelanos/2019/08_set/txt/g1_bab7583c-2323-11ed-b24f-6dbe51e79fca_3825.txt", "TXT")</f>
        <v/>
      </c>
    </row>
    <row r="1356">
      <c r="A1356" s="1" t="n">
        <v>1354</v>
      </c>
      <c r="B1356" t="n">
        <v>2019</v>
      </c>
      <c r="C1356" s="2" t="n">
        <v>43712.45625</v>
      </c>
      <c r="D1356" t="inlineStr">
        <is>
          <t>A CRITICA</t>
        </is>
      </c>
      <c r="E1356" t="inlineStr">
        <is>
          <t>VENEZUELANOS</t>
        </is>
      </c>
      <c r="F1356" t="inlineStr">
        <is>
          <t>MANAUS</t>
        </is>
      </c>
      <c r="G1356" t="inlineStr">
        <is>
          <t>IZABEL GUEDES</t>
        </is>
      </c>
      <c r="H1356" t="inlineStr">
        <is>
          <t>VENEZUELANOS TÊM ROTINA 'QUASE MILITAR' NO ENTORNO DA RODOVIÁRIA DE MANAUS</t>
        </is>
      </c>
      <c r="I1356" t="inlineStr">
        <is>
          <t>ORDENAMENTO IMPOSTO PELA OPERAÇÃO ‘ACOLHIDA’ DETERMINA QUE IMIGRANTES DEVEM DEIXAR O ESPAÇO ÀS 6H30. O LOCAL FUNCIONA COMO UMA ESPÉCIE DE ALBERGUE</t>
        </is>
      </c>
      <c r="J1356">
        <f>HYPERLINK("https://www.acritica.com/manaus/venezuelanos-tem-rotina-quase-militar-no-entorno-da-rodoviaria-de-manaus-1.60444", "URL")</f>
        <v/>
      </c>
      <c r="K1356">
        <f>HYPERLINK("https://raw.githubusercontent.com/marcosmapl/dataset_imigrantes/main/noticias_filtered/a_critica/venezuelanos/2019/08_set/html/1.60444_1031.html", "HTML")</f>
        <v/>
      </c>
      <c r="L1356">
        <f>HYPERLINK("https://raw.githubusercontent.com/marcosmapl/dataset_imigrantes/main/noticias_filtered/a_critica/venezuelanos/2019/08_set/txt/1.60444_1031.txt", "TXT")</f>
        <v/>
      </c>
    </row>
    <row r="1357">
      <c r="A1357" s="1" t="n">
        <v>1355</v>
      </c>
      <c r="B1357" t="n">
        <v>2019</v>
      </c>
      <c r="C1357" s="2" t="n">
        <v>43711.81584458333</v>
      </c>
      <c r="D1357" t="inlineStr">
        <is>
          <t>G1</t>
        </is>
      </c>
      <c r="E1357" t="inlineStr">
        <is>
          <t>VENEZUELANOS</t>
        </is>
      </c>
      <c r="F1357" t="inlineStr">
        <is>
          <t>MATO GROSSO</t>
        </is>
      </c>
      <c r="G1357" t="inlineStr">
        <is>
          <t>G1 MT</t>
        </is>
      </c>
      <c r="H1357" t="inlineStr">
        <is>
          <t>VENEZUELANO REFUGIADO EM CUIABÁ MORRE APÓS RECEBER DESCARGA ELÉTRICA DURANTE TRABALHO</t>
        </is>
      </c>
      <c r="I1357" t="inlineStr">
        <is>
          <t>GIOVANNI GABRIEL RODRIGUEZ PERALTA, DE 22 ANOS, MONTAVA UM APARELHO DE SONORIZAÇÃO PARA UM EVENTO QUANDO ACIDENTE ACONTECEU. FAMÍLIA DA VÍTIMA MORA NA VENEZUELA.</t>
        </is>
      </c>
      <c r="J1357">
        <f>HYPERLINK("https://g1.globo.com/mt/mato-grosso/noticia/2019/09/03/venezuelano-refugiado-em-cuiaba-morre-apos-receber-descarga-eletrica-durante-trabalho.ghtml", "URL")</f>
        <v/>
      </c>
      <c r="K1357">
        <f>HYPERLINK("https://raw.githubusercontent.com/marcosmapl/dataset_imigrantes/main/noticias_filtered/g1/venezuelanos/2019/08_set/html/g1_918a5b24-232a-11ed-b24f-6dbe51e79fca_4187.html", "HTML")</f>
        <v/>
      </c>
      <c r="L1357">
        <f>HYPERLINK("https://raw.githubusercontent.com/marcosmapl/dataset_imigrantes/main/noticias_filtered/g1/venezuelanos/2019/08_set/txt/g1_918a5b24-232a-11ed-b24f-6dbe51e79fca_4187.txt", "TXT")</f>
        <v/>
      </c>
    </row>
    <row r="1358">
      <c r="A1358" s="1" t="n">
        <v>1356</v>
      </c>
      <c r="B1358" t="n">
        <v>2019</v>
      </c>
      <c r="C1358" s="2" t="n">
        <v>43711.74305555555</v>
      </c>
      <c r="D1358" t="inlineStr">
        <is>
          <t>A CRITICA</t>
        </is>
      </c>
      <c r="E1358" t="inlineStr">
        <is>
          <t>VENEZUELANOS</t>
        </is>
      </c>
      <c r="F1358" t="inlineStr">
        <is>
          <t>MANAUS</t>
        </is>
      </c>
      <c r="G1358" t="inlineStr">
        <is>
          <t>CLEY MEDEIROS</t>
        </is>
      </c>
      <c r="H1358" t="inlineStr">
        <is>
          <t>VENEZUELANOS ‘RESISTENTES’ ACUSAM MILITARES DE ATEAREM FOGO EM BARRACOS</t>
        </is>
      </c>
      <c r="I1358" t="inlineStr">
        <is>
          <t>MILITARES AFIRMARAM QUE FORAM OS PRÓPRIOS VENEZUELANOS QUE REALIZARAM A AÇÃO. IMIGRANTES DIZEM TEREM SIDO ALVOS DE ‘REMOÇÃO FORÇADA’</t>
        </is>
      </c>
      <c r="J1358">
        <f>HYPERLINK("https://www.acritica.com/manaus/venezuelanos-resistentes-acusam-militares-de-atearem-fogo-em-barracos-1.60478", "URL")</f>
        <v/>
      </c>
      <c r="K1358">
        <f>HYPERLINK("https://raw.githubusercontent.com/marcosmapl/dataset_imigrantes/main/noticias_filtered/a_critica/venezuelanos/2019/08_set/html/1.60478_784.html", "HTML")</f>
        <v/>
      </c>
      <c r="L1358">
        <f>HYPERLINK("https://raw.githubusercontent.com/marcosmapl/dataset_imigrantes/main/noticias_filtered/a_critica/venezuelanos/2019/08_set/txt/1.60478_784.txt", "TXT")</f>
        <v/>
      </c>
    </row>
    <row r="1359">
      <c r="A1359" s="1" t="n">
        <v>1357</v>
      </c>
      <c r="B1359" t="n">
        <v>2019</v>
      </c>
      <c r="C1359" s="2" t="n">
        <v>43711.63782613426</v>
      </c>
      <c r="D1359" t="inlineStr">
        <is>
          <t>G1</t>
        </is>
      </c>
      <c r="E1359" t="inlineStr">
        <is>
          <t>HAITIANOS</t>
        </is>
      </c>
      <c r="F1359" t="inlineStr">
        <is>
          <t>SANTA CATARINA</t>
        </is>
      </c>
      <c r="G1359" t="inlineStr">
        <is>
          <t>G1 SC</t>
        </is>
      </c>
      <c r="H1359" t="inlineStr">
        <is>
          <t>'EU NÃO VOU PARAR NUNCA DE PEDIR JUSTIÇA', DIZ IRMÃ DE HAITIANO MORTO EM SANTA CATARINA</t>
        </is>
      </c>
      <c r="I1359" t="inlineStr">
        <is>
          <t>TRÊS MESES APÓS O CASO, SUSPEITO DE EMPURRAR HAITIANO NA BR-101, NA GRANDE FLORIANÓPOLIS, SEGUE FORAGIDO.</t>
        </is>
      </c>
      <c r="J1359">
        <f>HYPERLINK("https://g1.globo.com/sc/santa-catarina/noticia/2019/09/03/tres-meses-apos-morte-suspeito-de-empurrar-haitiano-na-br-101-na-grande-florianopolis-segue-foragido.ghtml", "URL")</f>
        <v/>
      </c>
      <c r="K1359">
        <f>HYPERLINK("https://raw.githubusercontent.com/marcosmapl/dataset_imigrantes/main/noticias_filtered/g1/haitianos/2019/08_set/html/g1_5423d186-22f6-11ed-b24f-6dbe51e79fca_2007.html", "HTML")</f>
        <v/>
      </c>
      <c r="L1359">
        <f>HYPERLINK("https://raw.githubusercontent.com/marcosmapl/dataset_imigrantes/main/noticias_filtered/g1/haitianos/2019/08_set/txt/g1_5423d186-22f6-11ed-b24f-6dbe51e79fca_2007.txt", "TXT")</f>
        <v/>
      </c>
    </row>
    <row r="1360">
      <c r="A1360" s="1" t="n">
        <v>1358</v>
      </c>
      <c r="B1360" t="n">
        <v>2019</v>
      </c>
      <c r="C1360" s="2" t="n">
        <v>43710.96756688657</v>
      </c>
      <c r="D1360" t="inlineStr">
        <is>
          <t>G1</t>
        </is>
      </c>
      <c r="E1360" t="inlineStr">
        <is>
          <t>VENEZUELANOS</t>
        </is>
      </c>
      <c r="F1360" t="inlineStr">
        <is>
          <t>SUL DE MINAS</t>
        </is>
      </c>
      <c r="G1360" t="inlineStr">
        <is>
          <t>EPTV 2 — PASSOS, MG</t>
        </is>
      </c>
      <c r="H1360" t="inlineStr">
        <is>
          <t>DOIS COLOMBIANOS E UM VENEZUELANO SÃO PRESOS POR SUSPEITA DE EXTORSÃO EM PASSOS</t>
        </is>
      </c>
      <c r="I1360" t="inlineStr">
        <is>
          <t>SEGUNDO A POLÍCIA, SUSPEITA É QUE ELES FAÇAM PARTE DE UM ESQUEMA DE AGIOTAGEM.</t>
        </is>
      </c>
      <c r="J1360">
        <f>HYPERLINK("https://g1.globo.com/mg/sul-de-minas/noticia/2019/09/02/dois-colombianos-e-um-venezuelano-sao-presos-por-suspeita-de-extorsao-em-passos.ghtml", "URL")</f>
        <v/>
      </c>
      <c r="K1360">
        <f>HYPERLINK("https://raw.githubusercontent.com/marcosmapl/dataset_imigrantes/main/noticias_filtered/g1/venezuelanos/2019/08_set/html/g1_bab9e280-230c-11ed-b24f-6dbe51e79fca_2643.html", "HTML")</f>
        <v/>
      </c>
      <c r="L1360">
        <f>HYPERLINK("https://raw.githubusercontent.com/marcosmapl/dataset_imigrantes/main/noticias_filtered/g1/venezuelanos/2019/08_set/txt/g1_bab9e280-230c-11ed-b24f-6dbe51e79fca_2643.txt", "TXT")</f>
        <v/>
      </c>
    </row>
    <row r="1361">
      <c r="A1361" s="1" t="n">
        <v>1359</v>
      </c>
      <c r="B1361" t="n">
        <v>2019</v>
      </c>
      <c r="C1361" s="2" t="n">
        <v>43710.58042060185</v>
      </c>
      <c r="D1361" t="inlineStr">
        <is>
          <t>G1</t>
        </is>
      </c>
      <c r="E1361" t="inlineStr">
        <is>
          <t>HAITIANOS</t>
        </is>
      </c>
      <c r="F1361" t="inlineStr">
        <is>
          <t>RIO GRANDE DO SUL</t>
        </is>
      </c>
      <c r="G1361" t="inlineStr">
        <is>
          <t>G1 RS</t>
        </is>
      </c>
      <c r="H1361" t="inlineStr">
        <is>
          <t>PRESO SUSPEITO DE MATAR HAITIANA DENTRO DE MOTEL EM GRAVATAÍ</t>
        </is>
      </c>
      <c r="I1361" t="inlineStr">
        <is>
          <t>HOMEM CONFESSOU ASSASSINATO À POLICIA E CASO É INVESTIGADO COMO LATROCÍNIO. SEGUNDO O DELEGADO GUSTAVO BERMUDES MENEGAZZO DA ROCHA, GERMANIE PAUL, DE 29 ANOS, FOI MORTA POR ASFIXIA.</t>
        </is>
      </c>
      <c r="J1361">
        <f>HYPERLINK("https://g1.globo.com/rs/rio-grande-do-sul/noticia/2019/09/02/preso-suspeito-de-matar-haitiana-dentro-de-motel-em-gravatai.ghtml", "URL")</f>
        <v/>
      </c>
      <c r="K1361">
        <f>HYPERLINK("https://raw.githubusercontent.com/marcosmapl/dataset_imigrantes/main/noticias_filtered/g1/haitianos/2019/08_set/html/g1_06ce09b6-231d-11ed-b24f-6dbe51e79fca_3480.html", "HTML")</f>
        <v/>
      </c>
      <c r="L1361">
        <f>HYPERLINK("https://raw.githubusercontent.com/marcosmapl/dataset_imigrantes/main/noticias_filtered/g1/haitianos/2019/08_set/txt/g1_06ce09b6-231d-11ed-b24f-6dbe51e79fca_3480.txt", "TXT")</f>
        <v/>
      </c>
    </row>
    <row r="1362">
      <c r="A1362" s="1" t="n">
        <v>1360</v>
      </c>
      <c r="B1362" t="n">
        <v>2019</v>
      </c>
      <c r="C1362" s="2" t="n">
        <v>43707.91810185185</v>
      </c>
      <c r="D1362" t="inlineStr">
        <is>
          <t>A CRITICA</t>
        </is>
      </c>
      <c r="E1362" t="inlineStr">
        <is>
          <t>VENEZUELANOS</t>
        </is>
      </c>
      <c r="F1362" t="inlineStr">
        <is>
          <t>MANAUS</t>
        </is>
      </c>
      <c r="G1362" t="inlineStr">
        <is>
          <t>PORTAL A CRÍTICA</t>
        </is>
      </c>
      <c r="H1362" t="inlineStr">
        <is>
          <t>RODOVIÁRIA DE MANAUS SERÁ LOCAL DE PERNOITE PARA VENEZUELANOS</t>
        </is>
      </c>
      <c r="I1362" t="inlineStr">
        <is>
          <t>MIGRANTES VOLTARAM PARA IMEDIAÇÕES DA RODOVIÁRIA NESTA SEXTA-FEIRA (30), APÓS INSTALAÇÃO DE TOLDOS PELO EXÉRCITO. BARRACAS SERÃO ENTREGUES PARA VENEZUELANOS PASSAREM A NOITE NO LOCAL</t>
        </is>
      </c>
      <c r="J1362">
        <f>HYPERLINK("https://www.acritica.com/manaus/rodoviaria-de-manaus-sera-local-de-pernoite-para-venezuelanos-1.60509", "URL")</f>
        <v/>
      </c>
      <c r="K1362">
        <f>HYPERLINK("https://raw.githubusercontent.com/marcosmapl/dataset_imigrantes/main/noticias_filtered/a_critica/venezuelanos/2019/07_ago/html/1.60509_626.html", "HTML")</f>
        <v/>
      </c>
      <c r="L1362">
        <f>HYPERLINK("https://raw.githubusercontent.com/marcosmapl/dataset_imigrantes/main/noticias_filtered/a_critica/venezuelanos/2019/07_ago/txt/1.60509_626.txt", "TXT")</f>
        <v/>
      </c>
    </row>
    <row r="1363">
      <c r="A1363" s="1" t="n">
        <v>1361</v>
      </c>
      <c r="B1363" t="n">
        <v>2019</v>
      </c>
      <c r="C1363" s="2" t="n">
        <v>43706.48888888889</v>
      </c>
      <c r="D1363" t="inlineStr">
        <is>
          <t>PORTAL AMAZONIA</t>
        </is>
      </c>
      <c r="E1363" t="inlineStr">
        <is>
          <t>VENEZUELANOS</t>
        </is>
      </c>
      <c r="F1363" t="inlineStr">
        <is>
          <t>CIDADES</t>
        </is>
      </c>
      <c r="G1363" t="inlineStr">
        <is>
          <t>REDAÇÃO</t>
        </is>
      </c>
      <c r="H1363" t="inlineStr">
        <is>
          <t>MILHARES DE IMIGRANTES DA VENEZUELA VIVEM EM ABRIGOS IMPROVISADOS NO NORTE DO BRASIL</t>
        </is>
      </c>
      <c r="I1363" t="inlineStr">
        <is>
          <t>A CRISE NA VENEZUELA CONTINUA INTENSIFICANDO O FLUXO MIGRATÓRIO PARA OUTROS PAÍSES, COMO O BRASIL, ATRAVÉS DOS ESTADOS QUE FAZEM FRONTEIRA, COMO O AMAZONAS E RORAIMA. SEGUNDO O PE. JAIME CARLOS PATIAS, CONSELHEIRO GERAL DA CONGREGAÇÃO DOS MISSIONÁRIO</t>
        </is>
      </c>
      <c r="J1363">
        <f>HYPERLINK("https://portalamazonia.com/noticias/cidades/milhares-de-imigrantes-da-venezuela-vivem-em-abrigos-improvisados-no-norte-do-brasil", "URL")</f>
        <v/>
      </c>
      <c r="K1363">
        <f>HYPERLINK("https://raw.githubusercontent.com/marcosmapl/dataset_imigrantes/main/noticias_filtered/portal_amazonia/venezuelanos/2019/07_ago/html/24272.24272_1580.html", "HTML")</f>
        <v/>
      </c>
      <c r="L1363">
        <f>HYPERLINK("https://raw.githubusercontent.com/marcosmapl/dataset_imigrantes/main/noticias_filtered/portal_amazonia/venezuelanos/2019/07_ago/txt/24272.24272_1580.txt", "TXT")</f>
        <v/>
      </c>
    </row>
    <row r="1364">
      <c r="A1364" s="1" t="n">
        <v>1362</v>
      </c>
      <c r="B1364" t="n">
        <v>2019</v>
      </c>
      <c r="C1364" s="2" t="n">
        <v>43706.46738425926</v>
      </c>
      <c r="D1364" t="inlineStr">
        <is>
          <t>A CRITICA</t>
        </is>
      </c>
      <c r="E1364" t="inlineStr">
        <is>
          <t>VENEZUELANOS</t>
        </is>
      </c>
      <c r="F1364" t="inlineStr">
        <is>
          <t>OPINIAO</t>
        </is>
      </c>
      <c r="G1364" t="inlineStr"/>
      <c r="H1364" t="inlineStr">
        <is>
          <t>REFUGIADOS: DESAFIO DO ACOLHIMENTO</t>
        </is>
      </c>
      <c r="I1364" t="inlineStr"/>
      <c r="J1364">
        <f>HYPERLINK("https://www.acritica.com/opiniao/refugiados-desafio-do-acolhimento-1.227344", "URL")</f>
        <v/>
      </c>
      <c r="K1364">
        <f>HYPERLINK("https://raw.githubusercontent.com/marcosmapl/dataset_imigrantes/main/noticias_filtered/a_critica/venezuelanos/2019/07_ago/html/1.227344_860.html", "HTML")</f>
        <v/>
      </c>
      <c r="L1364">
        <f>HYPERLINK("https://raw.githubusercontent.com/marcosmapl/dataset_imigrantes/main/noticias_filtered/a_critica/venezuelanos/2019/07_ago/txt/1.227344_860.txt", "TXT")</f>
        <v/>
      </c>
    </row>
    <row r="1365">
      <c r="A1365" s="1" t="n">
        <v>1363</v>
      </c>
      <c r="B1365" t="n">
        <v>2019</v>
      </c>
      <c r="C1365" s="2" t="n">
        <v>43706.3752075463</v>
      </c>
      <c r="D1365" t="inlineStr">
        <is>
          <t>G1</t>
        </is>
      </c>
      <c r="E1365" t="inlineStr">
        <is>
          <t>VENEZUELANOS</t>
        </is>
      </c>
      <c r="F1365" t="inlineStr">
        <is>
          <t>RORAIMA</t>
        </is>
      </c>
      <c r="G1365" t="inlineStr">
        <is>
          <t>EMILY COSTA, G1 RR — BOA VISTA</t>
        </is>
      </c>
      <c r="H1365" t="inlineStr">
        <is>
          <t>AO MENOS 7 VENEZUELANAS DÃO À LUZ POR DIA NA MATERNIDADE DE RR; NÚMERO É QUASE O DOBRO DE 2018</t>
        </is>
      </c>
      <c r="I1365" t="inlineStr">
        <is>
          <t>PUXADO PELA IMIGRAÇÃO VENEZUELANA, ESTADO TEVE CRESCIMENTO POPULACIONAL DE 5,1%, O MAIOR DO PAÍS NO ÚLTIMO ANO, SEGUNDO O IBGE. NA ÚNICA MATERNIDADE DO ESTADO, 25% DOS 31 NASCIMENTOS DIÁRIOS SÃO DE FILHOS DE VENEZUELANAS.</t>
        </is>
      </c>
      <c r="J1365">
        <f>HYPERLINK("https://g1.globo.com/rr/roraima/noticia/2019/08/29/ao-menos-7-venezuelanas-dao-a-luz-por-dia-na-maternidade-de-rr-numero-e-quase-o-dobro-de-2018.ghtml", "URL")</f>
        <v/>
      </c>
      <c r="K1365">
        <f>HYPERLINK("https://raw.githubusercontent.com/marcosmapl/dataset_imigrantes/main/noticias_filtered/g1/venezuelanos/2019/07_ago/html/g1_3fd2e69a-2314-11ed-b24f-6dbe51e79fca_3054.html", "HTML")</f>
        <v/>
      </c>
      <c r="L1365">
        <f>HYPERLINK("https://raw.githubusercontent.com/marcosmapl/dataset_imigrantes/main/noticias_filtered/g1/venezuelanos/2019/07_ago/txt/g1_3fd2e69a-2314-11ed-b24f-6dbe51e79fca_3054.txt", "TXT")</f>
        <v/>
      </c>
    </row>
    <row r="1366">
      <c r="A1366" s="1" t="n">
        <v>1364</v>
      </c>
      <c r="B1366" t="n">
        <v>2019</v>
      </c>
      <c r="C1366" s="2" t="n">
        <v>43705.73484953704</v>
      </c>
      <c r="D1366" t="inlineStr">
        <is>
          <t>A CRITICA</t>
        </is>
      </c>
      <c r="E1366" t="inlineStr">
        <is>
          <t>VENEZUELANOS</t>
        </is>
      </c>
      <c r="F1366" t="inlineStr">
        <is>
          <t>MANAUS</t>
        </is>
      </c>
      <c r="G1366" t="inlineStr">
        <is>
          <t>KAROL ROCHA</t>
        </is>
      </c>
      <c r="H1366" t="inlineStr">
        <is>
          <t>VENEZUELANOS 'RESISTENTES' DECIDEM PERMANECER NAS IMEDIAÇÕES DA RODOVIÁRIA</t>
        </is>
      </c>
      <c r="I1366" t="inlineStr">
        <is>
          <t>“NÃO VOU SAIR DAQUI. NÃO SABEMOS SE DEPOIS DE IRMOS PARA O LOCAL TEMPORÁRIO, VAMOS RETORNAR PARA CÁ", DISSE UMA VENEZUELANA</t>
        </is>
      </c>
      <c r="J1366">
        <f>HYPERLINK("https://www.acritica.com/manaus/venezuelanos-resistentes-decidem-permanecer-nas-imediac-es-da-rodoviaria-1.60682", "URL")</f>
        <v/>
      </c>
      <c r="K1366">
        <f>HYPERLINK("https://raw.githubusercontent.com/marcosmapl/dataset_imigrantes/main/noticias_filtered/a_critica/venezuelanos/2019/07_ago/html/1.60682_1220.html", "HTML")</f>
        <v/>
      </c>
      <c r="L1366">
        <f>HYPERLINK("https://raw.githubusercontent.com/marcosmapl/dataset_imigrantes/main/noticias_filtered/a_critica/venezuelanos/2019/07_ago/txt/1.60682_1220.txt", "TXT")</f>
        <v/>
      </c>
    </row>
    <row r="1367">
      <c r="A1367" s="1" t="n">
        <v>1365</v>
      </c>
      <c r="B1367" t="n">
        <v>2019</v>
      </c>
      <c r="C1367" s="2" t="n">
        <v>43705.58168981481</v>
      </c>
      <c r="D1367" t="inlineStr">
        <is>
          <t>A CRITICA</t>
        </is>
      </c>
      <c r="E1367" t="inlineStr">
        <is>
          <t>VENEZUELANOS</t>
        </is>
      </c>
      <c r="F1367" t="inlineStr"/>
      <c r="G1367" t="inlineStr">
        <is>
          <t>AGÊNCIA BRASIL</t>
        </is>
      </c>
      <c r="H1367" t="inlineStr">
        <is>
          <t>PROCON MULTA GOL LINHAS AÉREAS EM R$ 3,5 MILHÕES POR PROMOÇÃO IRREGULAR</t>
        </is>
      </c>
      <c r="I1367" t="inlineStr">
        <is>
          <t>O ANÚNCIO ERA DE QUE SERIAM VENDIDAS PASSAGENS PELO VALOR DE R$ 3,90 DURANTE A PARTIDA DE FUTEBOL DA SELEÇÃO BRASILEIRA CONTRA A VENEZUELANA NO DIA 18 DE JUNHO</t>
        </is>
      </c>
      <c r="J1367">
        <f>HYPERLINK("https://www.acritica.com/procon-multa-gol-linhas-aereas-em-r-3-5-milh-es-por-promoc-o-irregular-1.60618", "URL")</f>
        <v/>
      </c>
      <c r="K1367">
        <f>HYPERLINK("https://raw.githubusercontent.com/marcosmapl/dataset_imigrantes/main/noticias_filtered/a_critica/venezuelanos/2019/07_ago/html/1.60618_434.html", "HTML")</f>
        <v/>
      </c>
      <c r="L1367">
        <f>HYPERLINK("https://raw.githubusercontent.com/marcosmapl/dataset_imigrantes/main/noticias_filtered/a_critica/venezuelanos/2019/07_ago/txt/1.60618_434.txt", "TXT")</f>
        <v/>
      </c>
    </row>
    <row r="1368">
      <c r="A1368" s="1" t="n">
        <v>1366</v>
      </c>
      <c r="B1368" t="n">
        <v>2019</v>
      </c>
      <c r="C1368" s="2" t="n">
        <v>43705.41448260417</v>
      </c>
      <c r="D1368" t="inlineStr">
        <is>
          <t>G1</t>
        </is>
      </c>
      <c r="E1368" t="inlineStr">
        <is>
          <t>VENEZUELANOS</t>
        </is>
      </c>
      <c r="F1368" t="inlineStr">
        <is>
          <t>CEARÁ</t>
        </is>
      </c>
      <c r="G1368" t="inlineStr">
        <is>
          <t>G1 CE</t>
        </is>
      </c>
      <c r="H1368" t="inlineStr">
        <is>
          <t>VENEZUELANO É PRESO COM 2 QUILOS DE COCAÍNA NO AEROPORTO DE FORTALEZA TENTANDO EMBARCAR PARA A EUROPA</t>
        </is>
      </c>
      <c r="I1368" t="inlineStr">
        <is>
          <t>ENTORPECENTE TERIA COMO DESTINO A CIDADE DE LISBOA, EM PORTUGAL.</t>
        </is>
      </c>
      <c r="J1368">
        <f>HYPERLINK("https://g1.globo.com/ce/ceara/noticia/2019/08/28/venezuelano-e-preso-com-2-quilos-de-cocaina-no-aeroporto-de-fortaleza-tentando-embarcar-para-a-europa.ghtml", "URL")</f>
        <v/>
      </c>
      <c r="K1368">
        <f>HYPERLINK("https://raw.githubusercontent.com/marcosmapl/dataset_imigrantes/main/noticias_filtered/g1/venezuelanos/2019/07_ago/html/g1_f346993a-232b-11ed-b24f-6dbe51e79fca_4280.html", "HTML")</f>
        <v/>
      </c>
      <c r="L1368">
        <f>HYPERLINK("https://raw.githubusercontent.com/marcosmapl/dataset_imigrantes/main/noticias_filtered/g1/venezuelanos/2019/07_ago/txt/g1_f346993a-232b-11ed-b24f-6dbe51e79fca_4280.txt", "TXT")</f>
        <v/>
      </c>
    </row>
    <row r="1369">
      <c r="A1369" s="1" t="n">
        <v>1367</v>
      </c>
      <c r="B1369" t="n">
        <v>2019</v>
      </c>
      <c r="C1369" s="2" t="n">
        <v>43704.93888888889</v>
      </c>
      <c r="D1369" t="inlineStr">
        <is>
          <t>A CRITICA</t>
        </is>
      </c>
      <c r="E1369" t="inlineStr">
        <is>
          <t>VENEZUELANOS</t>
        </is>
      </c>
      <c r="F1369" t="inlineStr">
        <is>
          <t>MANAUS</t>
        </is>
      </c>
      <c r="G1369" t="inlineStr">
        <is>
          <t>PEDRO SOUSA</t>
        </is>
      </c>
      <c r="H1369" t="inlineStr">
        <is>
          <t>FORÇAS ARMADAS RETIRAM VENEZUELANOS DA RODOVIÁRIA DE MANAUS</t>
        </is>
      </c>
      <c r="I1369" t="inlineStr">
        <is>
          <t>FAMÍLIAS SÃO LEVADAS PARA ARENA AMADEU TEIXEIRA, ONDE DEVEM PERMANECER POR PELO MENOS TRÊS DIAS, ATÉ A CONSTRUÇÃO DE NOVOS ABRIGOS NA RODOVIÁRIA</t>
        </is>
      </c>
      <c r="J1369">
        <f>HYPERLINK("https://www.acritica.com/manaus/forcas-armadas-retiram-venezuelanos-da-rodoviaria-de-manaus-1.60734", "URL")</f>
        <v/>
      </c>
      <c r="K1369">
        <f>HYPERLINK("https://raw.githubusercontent.com/marcosmapl/dataset_imigrantes/main/noticias_filtered/a_critica/venezuelanos/2019/07_ago/html/1.60734_105.html", "HTML")</f>
        <v/>
      </c>
      <c r="L1369">
        <f>HYPERLINK("https://raw.githubusercontent.com/marcosmapl/dataset_imigrantes/main/noticias_filtered/a_critica/venezuelanos/2019/07_ago/txt/1.60734_105.txt", "TXT")</f>
        <v/>
      </c>
    </row>
    <row r="1370">
      <c r="A1370" s="1" t="n">
        <v>1368</v>
      </c>
      <c r="B1370" t="n">
        <v>2019</v>
      </c>
      <c r="C1370" s="2" t="n">
        <v>43704.86084366898</v>
      </c>
      <c r="D1370" t="inlineStr">
        <is>
          <t>G1</t>
        </is>
      </c>
      <c r="E1370" t="inlineStr">
        <is>
          <t>VENEZUELANOS</t>
        </is>
      </c>
      <c r="F1370" t="inlineStr">
        <is>
          <t>RORAIMA</t>
        </is>
      </c>
      <c r="G1370" t="inlineStr">
        <is>
          <t>G1 RR — BOA VISTA</t>
        </is>
      </c>
      <c r="H1370" t="inlineStr">
        <is>
          <t>VENEZUELANO É BALEADO POR ENGANO EM BORRACHARIA NA ZONA OESTE DE BOA VISTA</t>
        </is>
      </c>
      <c r="I1370" t="inlineStr">
        <is>
          <t>JOVEM, DE 21 ANOS, AGUARDAVA ESTABELECIMENTO ABRIR QUANDO DOIS HOMENS EM UMA MOTO CHEGARAM ATIRANDO.</t>
        </is>
      </c>
      <c r="J1370">
        <f>HYPERLINK("https://g1.globo.com/rr/roraima/noticia/2019/08/27/venezuelano-e-baleado-por-engano-em-borracharia-na-zona-oeste-de-boa-vista.ghtml", "URL")</f>
        <v/>
      </c>
      <c r="K1370">
        <f>HYPERLINK("https://raw.githubusercontent.com/marcosmapl/dataset_imigrantes/main/noticias_filtered/g1/venezuelanos/2019/07_ago/html/g1_efea63be-2323-11ed-b24f-6dbe51e79fca_3837.html", "HTML")</f>
        <v/>
      </c>
      <c r="L1370">
        <f>HYPERLINK("https://raw.githubusercontent.com/marcosmapl/dataset_imigrantes/main/noticias_filtered/g1/venezuelanos/2019/07_ago/txt/g1_efea63be-2323-11ed-b24f-6dbe51e79fca_3837.txt", "TXT")</f>
        <v/>
      </c>
    </row>
    <row r="1371">
      <c r="A1371" s="1" t="n">
        <v>1369</v>
      </c>
      <c r="B1371" t="n">
        <v>2019</v>
      </c>
      <c r="C1371" s="2" t="n">
        <v>43704.53904302084</v>
      </c>
      <c r="D1371" t="inlineStr">
        <is>
          <t>G1</t>
        </is>
      </c>
      <c r="E1371" t="inlineStr">
        <is>
          <t>VENEZUELANOS</t>
        </is>
      </c>
      <c r="F1371" t="inlineStr">
        <is>
          <t>RORAIMA</t>
        </is>
      </c>
      <c r="G1371" t="inlineStr">
        <is>
          <t>G1 RR* — BOA VISTA</t>
        </is>
      </c>
      <c r="H1371" t="inlineStr">
        <is>
          <t>VENEZUELANO É MORTO A PAULADAS ENQUANTO DORMIA EM AVENIDA DE BOA VISTA</t>
        </is>
      </c>
      <c r="I1371" t="inlineStr">
        <is>
          <t>VÍTIMA FOI ENCONTRADA MORTA COM O ROSTO COBERTO DE SANGUE POR VOLTA DAS 3H DESTA TERÇA-FEIRA (27). NINGUÉM FOI PRESO.</t>
        </is>
      </c>
      <c r="J1371">
        <f>HYPERLINK("https://g1.globo.com/rr/roraima/noticia/2019/08/27/venezuelano-e-morto-a-pauladas-enquanto-dormia-em-avenida-de-boa-vista.ghtml", "URL")</f>
        <v/>
      </c>
      <c r="K1371">
        <f>HYPERLINK("https://raw.githubusercontent.com/marcosmapl/dataset_imigrantes/main/noticias_filtered/g1/venezuelanos/2019/07_ago/html/g1_0fa70a1a-2313-11ed-b24f-6dbe51e79fca_2990.html", "HTML")</f>
        <v/>
      </c>
      <c r="L1371">
        <f>HYPERLINK("https://raw.githubusercontent.com/marcosmapl/dataset_imigrantes/main/noticias_filtered/g1/venezuelanos/2019/07_ago/txt/g1_0fa70a1a-2313-11ed-b24f-6dbe51e79fca_2990.txt", "TXT")</f>
        <v/>
      </c>
    </row>
    <row r="1372">
      <c r="A1372" s="1" t="n">
        <v>1370</v>
      </c>
      <c r="B1372" t="n">
        <v>2019</v>
      </c>
      <c r="C1372" s="2" t="n">
        <v>43702.52725939815</v>
      </c>
      <c r="D1372" t="inlineStr">
        <is>
          <t>G1</t>
        </is>
      </c>
      <c r="E1372" t="inlineStr">
        <is>
          <t>VENEZUELANOS</t>
        </is>
      </c>
      <c r="F1372" t="inlineStr">
        <is>
          <t>RIO GRANDE DO SUL</t>
        </is>
      </c>
      <c r="G1372" t="inlineStr">
        <is>
          <t>G1 RS</t>
        </is>
      </c>
      <c r="H1372" t="inlineStr">
        <is>
          <t>ATAQUE EM ESCOLA, VENEZUELANA SUSPEITA DE MATAR FILHA E OUTRAS NOTÍCIAS DA SEMANA NO RS</t>
        </is>
      </c>
      <c r="I1372" t="inlineStr">
        <is>
          <t>CONFIRA AS MATÉRIAS QUE FORAM MAIS ACESSADAS NO G1 RS DE 19 A 24 DE AGOSTO.</t>
        </is>
      </c>
      <c r="J1372">
        <f>HYPERLINK("https://g1.globo.com/rs/rio-grande-do-sul/noticia/2019/08/25/ataque-em-escola-venezuelana-suspeita-de-matar-filha-e-outras-noticias-da-semana-no-rs.ghtml", "URL")</f>
        <v/>
      </c>
      <c r="K1372">
        <f>HYPERLINK("https://raw.githubusercontent.com/marcosmapl/dataset_imigrantes/main/noticias_filtered/g1/venezuelanos/2019/07_ago/html/g1_a8cb212e-230c-11ed-b24f-6dbe51e79fca_2639.html", "HTML")</f>
        <v/>
      </c>
      <c r="L1372">
        <f>HYPERLINK("https://raw.githubusercontent.com/marcosmapl/dataset_imigrantes/main/noticias_filtered/g1/venezuelanos/2019/07_ago/txt/g1_a8cb212e-230c-11ed-b24f-6dbe51e79fca_2639.txt", "TXT")</f>
        <v/>
      </c>
    </row>
    <row r="1373">
      <c r="A1373" s="1" t="n">
        <v>1371</v>
      </c>
      <c r="B1373" t="n">
        <v>2019</v>
      </c>
      <c r="C1373" s="2" t="n">
        <v>43700.59372685185</v>
      </c>
      <c r="D1373" t="inlineStr">
        <is>
          <t>A CRITICA</t>
        </is>
      </c>
      <c r="E1373" t="inlineStr">
        <is>
          <t>VENEZUELANOS</t>
        </is>
      </c>
      <c r="F1373" t="inlineStr">
        <is>
          <t>POLICIA</t>
        </is>
      </c>
      <c r="G1373" t="inlineStr">
        <is>
          <t>MARCOS LIMA</t>
        </is>
      </c>
      <c r="H1373" t="inlineStr">
        <is>
          <t>HOMEM É PRESO POR SUSPEITA DE EXTORSÃO AO SE PASSAR POR GAROTO DE PROGRAMA</t>
        </is>
      </c>
      <c r="I1373" t="inlineStr">
        <is>
          <t>SEGUNDO DENÚNCIAS, DIEGO FELIPE MOREIRA FERREIRA CONHECIA PESSOAS POR MEIO DE UM APLICATIVO DE RELACIONAMENTOS, MAS, DEPOIS DE MANTER RELAÇÕES SEXUAIS, DIZIA QUE ERA GAROTO DE PROGRAMA E COBRAVA</t>
        </is>
      </c>
      <c r="J1373">
        <f>HYPERLINK("https://www.acritica.com/policia/homem-e-preso-por-suspeita-de-extors-o-ao-se-passar-por-garoto-de-programa-1.61072", "URL")</f>
        <v/>
      </c>
      <c r="K1373">
        <f>HYPERLINK("https://raw.githubusercontent.com/marcosmapl/dataset_imigrantes/main/noticias_filtered/a_critica/venezuelanos/2019/07_ago/html/1.61072_1063.html", "HTML")</f>
        <v/>
      </c>
      <c r="L1373">
        <f>HYPERLINK("https://raw.githubusercontent.com/marcosmapl/dataset_imigrantes/main/noticias_filtered/a_critica/venezuelanos/2019/07_ago/txt/1.61072_1063.txt", "TXT")</f>
        <v/>
      </c>
    </row>
    <row r="1374">
      <c r="A1374" s="1" t="n">
        <v>1372</v>
      </c>
      <c r="B1374" t="n">
        <v>2019</v>
      </c>
      <c r="C1374" s="2" t="n">
        <v>43700.55228180555</v>
      </c>
      <c r="D1374" t="inlineStr">
        <is>
          <t>G1</t>
        </is>
      </c>
      <c r="E1374" t="inlineStr">
        <is>
          <t>VENEZUELANOS</t>
        </is>
      </c>
      <c r="F1374" t="inlineStr">
        <is>
          <t>MATO GROSSO</t>
        </is>
      </c>
      <c r="G1374" t="inlineStr">
        <is>
          <t>G1 MT</t>
        </is>
      </c>
      <c r="H1374" t="inlineStr">
        <is>
          <t>SITUAÇÃO DE CRIANÇAS VENEZUELANAS NAS VIAS DE CUIABÁ É DENUNCIADA E MPE PLANEJA ABORDAGEM NAS FAMÍLIAS</t>
        </is>
      </c>
      <c r="I1374" t="inlineStr">
        <is>
          <t>VENEZUELANOS FICAM NAS ROTATÓRIAS E AVENIDAS PEDINDO EMPREGO E DINHEIRO NA CAPITAL. DEZENAS DE DENÚNCIAS CHEGARAM À PROMOTORIA DE INFÂNCIA E JUVENTUDE, SEGUNDO O MPE.</t>
        </is>
      </c>
      <c r="J1374">
        <f>HYPERLINK("https://g1.globo.com/mt/mato-grosso/noticia/2019/08/23/situacao-de-criancas-venezuelanas-nas-vias-de-cuiaba-e-denunciada-e-mpe-planeja-abordagem-nas-familias.ghtml", "URL")</f>
        <v/>
      </c>
      <c r="K1374">
        <f>HYPERLINK("https://raw.githubusercontent.com/marcosmapl/dataset_imigrantes/main/noticias_filtered/g1/venezuelanos/2019/07_ago/html/g1_78ee9a56-2327-11ed-b24f-6dbe51e79fca_4037.html", "HTML")</f>
        <v/>
      </c>
      <c r="L1374">
        <f>HYPERLINK("https://raw.githubusercontent.com/marcosmapl/dataset_imigrantes/main/noticias_filtered/g1/venezuelanos/2019/07_ago/txt/g1_78ee9a56-2327-11ed-b24f-6dbe51e79fca_4037.txt", "TXT")</f>
        <v/>
      </c>
    </row>
    <row r="1375">
      <c r="A1375" s="1" t="n">
        <v>1373</v>
      </c>
      <c r="B1375" t="n">
        <v>2019</v>
      </c>
      <c r="C1375" s="2" t="n">
        <v>43699.63454649306</v>
      </c>
      <c r="D1375" t="inlineStr">
        <is>
          <t>G1</t>
        </is>
      </c>
      <c r="E1375" t="inlineStr">
        <is>
          <t>HAITIANOS</t>
        </is>
      </c>
      <c r="F1375" t="inlineStr">
        <is>
          <t>MATO GROSSO</t>
        </is>
      </c>
      <c r="G1375" t="inlineStr">
        <is>
          <t>G1 MT</t>
        </is>
      </c>
      <c r="H1375" t="inlineStr">
        <is>
          <t>HAITIANO É PRESO AO TENTAR VENDER MOTO ROUBADA PARA A DONA DO VEÍCULO EM CUIABÁ</t>
        </is>
      </c>
      <c r="I1375" t="inlineStr">
        <is>
          <t>A DONA DO VEÍCULO FOI QUEM ACIONOU A POLÍCIA, DEPOIS DE RECONHECER O VEÍCULO EM UM ANÚNCIO NUM SITE DE VENDAS. O HAITIANO, DE 30 ANOS, FOI PRESO E DEVE RESPONDER POR RECEPTAÇÃO.</t>
        </is>
      </c>
      <c r="J1375">
        <f>HYPERLINK("https://g1.globo.com/mt/mato-grosso/noticia/2019/08/22/haitiano-e-preso-ao-tentar-vender-moto-roubada-para-a-dona-do-veiculo-em-cuiaba.ghtml", "URL")</f>
        <v/>
      </c>
      <c r="K1375">
        <f>HYPERLINK("https://raw.githubusercontent.com/marcosmapl/dataset_imigrantes/main/noticias_filtered/g1/haitianos/2019/07_ago/html/g1_5a251218-22f4-11ed-b24f-6dbe51e79fca_1883.html", "HTML")</f>
        <v/>
      </c>
      <c r="L1375">
        <f>HYPERLINK("https://raw.githubusercontent.com/marcosmapl/dataset_imigrantes/main/noticias_filtered/g1/haitianos/2019/07_ago/txt/g1_5a251218-22f4-11ed-b24f-6dbe51e79fca_1883.txt", "TXT")</f>
        <v/>
      </c>
    </row>
    <row r="1376">
      <c r="A1376" s="1" t="n">
        <v>1374</v>
      </c>
      <c r="B1376" t="n">
        <v>2019</v>
      </c>
      <c r="C1376" s="2" t="n">
        <v>43699.57709034722</v>
      </c>
      <c r="D1376" t="inlineStr">
        <is>
          <t>G1</t>
        </is>
      </c>
      <c r="E1376" t="inlineStr">
        <is>
          <t>AMBOS</t>
        </is>
      </c>
      <c r="F1376" t="inlineStr">
        <is>
          <t>POLÍTICA</t>
        </is>
      </c>
      <c r="G1376" t="inlineStr">
        <is>
          <t>LUIZ FELIPE BARBIÉRI, G1 — BRASÍLIA</t>
        </is>
      </c>
      <c r="H1376" t="inlineStr">
        <is>
          <t>VENEZUELANOS SÃO QUASE 70% DOS REFUGIADOS COM CARTEIRAS DE TRABALHO EMITIDAS EM 2018</t>
        </is>
      </c>
      <c r="I1376" t="inlineStr">
        <is>
          <t>HAITIANOS CONTINUAM A LIDERAR EMPREGO FORMAL ENTRE IMIGRANTES NO BRASIL, SEGUIDOS POR VENEZUELANOS, PARAGUAIOS, ARGENTINOS E BOLIVIANOS, SEGUNDO RELATÓRIO DO MINISTÉRIO DA JUSTIÇA.</t>
        </is>
      </c>
      <c r="J1376">
        <f>HYPERLINK("https://g1.globo.com/politica/politicos/noticia/2019/08/22/venezuelanos-representam-quase-70percent-das-carteiras-de-trabalho-emitidas-pelo-governo-a-refugiados-em-2018.ghtml", "URL")</f>
        <v/>
      </c>
      <c r="K1376">
        <f>HYPERLINK("https://raw.githubusercontent.com/marcosmapl/dataset_imigrantes/main/noticias_filtered/g1/ambos/2019/07_ago/html/g1_19119724-2321-11ed-b24f-6dbe51e79fca_3679.html", "HTML")</f>
        <v/>
      </c>
      <c r="L1376">
        <f>HYPERLINK("https://raw.githubusercontent.com/marcosmapl/dataset_imigrantes/main/noticias_filtered/g1/ambos/2019/07_ago/txt/g1_19119724-2321-11ed-b24f-6dbe51e79fca_3679.txt", "TXT")</f>
        <v/>
      </c>
    </row>
    <row r="1377">
      <c r="A1377" s="1" t="n">
        <v>1375</v>
      </c>
      <c r="B1377" t="n">
        <v>2019</v>
      </c>
      <c r="C1377" s="2" t="n">
        <v>43698.74375</v>
      </c>
      <c r="D1377" t="inlineStr">
        <is>
          <t>A CRITICA</t>
        </is>
      </c>
      <c r="E1377" t="inlineStr">
        <is>
          <t>VENEZUELANOS</t>
        </is>
      </c>
      <c r="F1377" t="inlineStr">
        <is>
          <t>POLICIA</t>
        </is>
      </c>
      <c r="G1377" t="inlineStr">
        <is>
          <t>AMANDA GUIMARÃES</t>
        </is>
      </c>
      <c r="H1377" t="inlineStr">
        <is>
          <t>CONFUSÃO EM ABRIGO NO COROADO TERMINA COM VENEZUELANO E PM FERIDOS</t>
        </is>
      </c>
      <c r="I1377" t="inlineStr">
        <is>
          <t>UM VENEZUELANO CHEGOU A SER ATINGIDO COM UM DISPARO DE ARMA DE FOGO DE RASPÃO NA PERNA</t>
        </is>
      </c>
      <c r="J1377">
        <f>HYPERLINK("https://www.acritica.com/policia/confus-o-em-abrigo-no-coroado-termina-com-venezuelano-e-pm-feridos-1.61203", "URL")</f>
        <v/>
      </c>
      <c r="K1377">
        <f>HYPERLINK("https://raw.githubusercontent.com/marcosmapl/dataset_imigrantes/main/noticias_filtered/a_critica/venezuelanos/2019/07_ago/html/1.61203_1379.html", "HTML")</f>
        <v/>
      </c>
      <c r="L1377">
        <f>HYPERLINK("https://raw.githubusercontent.com/marcosmapl/dataset_imigrantes/main/noticias_filtered/a_critica/venezuelanos/2019/07_ago/txt/1.61203_1379.txt", "TXT")</f>
        <v/>
      </c>
    </row>
    <row r="1378">
      <c r="A1378" s="1" t="n">
        <v>1376</v>
      </c>
      <c r="B1378" t="n">
        <v>2019</v>
      </c>
      <c r="C1378" s="2" t="n">
        <v>43698.69364244213</v>
      </c>
      <c r="D1378" t="inlineStr">
        <is>
          <t>G1</t>
        </is>
      </c>
      <c r="E1378" t="inlineStr">
        <is>
          <t>VENEZUELANOS</t>
        </is>
      </c>
      <c r="F1378" t="inlineStr">
        <is>
          <t>AMAZONAS</t>
        </is>
      </c>
      <c r="G1378" t="inlineStr">
        <is>
          <t>G1 AM</t>
        </is>
      </c>
      <c r="H1378" t="inlineStr">
        <is>
          <t>APÓS FORÇAR POUSO EM RIO, VENEZUELANO QUE PILOTAVA HIDROAVIÃO É PRESO COM ARMAS E MUNIÇÕES NO AM</t>
        </is>
      </c>
      <c r="I1378" t="inlineStr">
        <is>
          <t>SEGUNDO A POLÍCIA, HOMEM FARIA BUSCA DE CARGA DE DROGAS NA CIDADE DE BARCELOS PARA DEPOIS TRANSPORTAR E DISTRIBUIR O ENTORPECENTE PARA OUTRAS CIDADES DO ESTADO.</t>
        </is>
      </c>
      <c r="J1378">
        <f>HYPERLINK("https://g1.globo.com/am/amazonas/noticia/2019/08/21/apos-forcar-pouso-em-rio-venezuelano-que-pilotava-hidroaviao-e-preso-com-armas-e-municoes-no-am.ghtml", "URL")</f>
        <v/>
      </c>
      <c r="K1378">
        <f>HYPERLINK("https://raw.githubusercontent.com/marcosmapl/dataset_imigrantes/main/noticias_filtered/g1/venezuelanos/2019/07_ago/html/g1_50120330-231c-11ed-b24f-6dbe51e79fca_3439.html", "HTML")</f>
        <v/>
      </c>
      <c r="L1378">
        <f>HYPERLINK("https://raw.githubusercontent.com/marcosmapl/dataset_imigrantes/main/noticias_filtered/g1/venezuelanos/2019/07_ago/txt/g1_50120330-231c-11ed-b24f-6dbe51e79fca_3439.txt", "TXT")</f>
        <v/>
      </c>
    </row>
    <row r="1379">
      <c r="A1379" s="1" t="n">
        <v>1377</v>
      </c>
      <c r="B1379" t="n">
        <v>2019</v>
      </c>
      <c r="C1379" s="2" t="n">
        <v>43698.69335648148</v>
      </c>
      <c r="D1379" t="inlineStr">
        <is>
          <t>A CRITICA</t>
        </is>
      </c>
      <c r="E1379" t="inlineStr">
        <is>
          <t>VENEZUELANOS</t>
        </is>
      </c>
      <c r="F1379" t="inlineStr">
        <is>
          <t>POLICIA</t>
        </is>
      </c>
      <c r="G1379" t="inlineStr">
        <is>
          <t>PORTAL A CRÍTICA</t>
        </is>
      </c>
      <c r="H1379" t="inlineStr">
        <is>
          <t>VENEZUELANO QUE PILOTAVA AERONAVE É PRESO COM ARMAS E MUNIÇÕES NO AM</t>
        </is>
      </c>
      <c r="I1379" t="inlineStr">
        <is>
          <t>A ABORDAGEM AO SUSPEITO FOI REALIZADA APÓS A AERONAVE REALIZAR UM POUSO FORÇADO NO RIO UNINI, NAS PROXIMIDADES DE BARCELOS</t>
        </is>
      </c>
      <c r="J1379">
        <f>HYPERLINK("https://www.acritica.com/policia/venezuelano-que-pilotava-aeronave-e-preso-com-armas-e-munic-es-no-am-1.61248", "URL")</f>
        <v/>
      </c>
      <c r="K1379">
        <f>HYPERLINK("https://raw.githubusercontent.com/marcosmapl/dataset_imigrantes/main/noticias_filtered/a_critica/venezuelanos/2019/07_ago/html/1.61248_610.html", "HTML")</f>
        <v/>
      </c>
      <c r="L1379">
        <f>HYPERLINK("https://raw.githubusercontent.com/marcosmapl/dataset_imigrantes/main/noticias_filtered/a_critica/venezuelanos/2019/07_ago/txt/1.61248_610.txt", "TXT")</f>
        <v/>
      </c>
    </row>
    <row r="1380">
      <c r="A1380" s="1" t="n">
        <v>1378</v>
      </c>
      <c r="B1380" t="n">
        <v>2019</v>
      </c>
      <c r="C1380" s="2" t="n">
        <v>43697.92853099537</v>
      </c>
      <c r="D1380" t="inlineStr">
        <is>
          <t>G1</t>
        </is>
      </c>
      <c r="E1380" t="inlineStr">
        <is>
          <t>VENEZUELANOS</t>
        </is>
      </c>
      <c r="F1380" t="inlineStr">
        <is>
          <t>RIO GRANDE DO SUL</t>
        </is>
      </c>
      <c r="G1380" t="inlineStr">
        <is>
          <t>JONAS CAMPOS, MATHEUS BECK, RBS TV E G1 RS</t>
        </is>
      </c>
      <c r="H1380" t="inlineStr">
        <is>
          <t>VENEZUELANA SUSPEITA DE MATAR A FILHA DE DOIS ANOS É PRESA EM SÃO LEOPOLDO</t>
        </is>
      </c>
      <c r="I1380" t="inlineStr">
        <is>
          <t>SEGUNDO A POLÍCIA, CRIANÇA MORREU POR HEMORRAGIA INTERNA APÓS PERFURAÇÃO DE ÓRGÃOS ORIGINADO DE AGRESSÕES. PADRASTO DA CRIANÇA TAMBÉM É INVESTIGADO POR PARTICIPAÇÃO NO CRIME.</t>
        </is>
      </c>
      <c r="J1380">
        <f>HYPERLINK("https://g1.globo.com/rs/rio-grande-do-sul/noticia/2019/08/20/venezuelana-suspeita-de-matar-a-filha-de-dois-anos-e-presa-em-sao-leopoldo.ghtml", "URL")</f>
        <v/>
      </c>
      <c r="K1380">
        <f>HYPERLINK("https://raw.githubusercontent.com/marcosmapl/dataset_imigrantes/main/noticias_filtered/g1/venezuelanos/2019/07_ago/html/g1_58103e6a-230a-11ed-b24f-6dbe51e79fca_2499.html", "HTML")</f>
        <v/>
      </c>
      <c r="L1380">
        <f>HYPERLINK("https://raw.githubusercontent.com/marcosmapl/dataset_imigrantes/main/noticias_filtered/g1/venezuelanos/2019/07_ago/txt/g1_58103e6a-230a-11ed-b24f-6dbe51e79fca_2499.txt", "TXT")</f>
        <v/>
      </c>
    </row>
    <row r="1381">
      <c r="A1381" s="1" t="n">
        <v>1379</v>
      </c>
      <c r="B1381" t="n">
        <v>2019</v>
      </c>
      <c r="C1381" s="2" t="n">
        <v>43697.48185546296</v>
      </c>
      <c r="D1381" t="inlineStr">
        <is>
          <t>G1</t>
        </is>
      </c>
      <c r="E1381" t="inlineStr">
        <is>
          <t>VENEZUELANOS</t>
        </is>
      </c>
      <c r="F1381" t="inlineStr">
        <is>
          <t>POLÍTICA</t>
        </is>
      </c>
      <c r="G1381" t="inlineStr">
        <is>
          <t>ANA KRÜGER E GABRIEL PALMA, G1 E TV GLOBO — BRASÍLIA</t>
        </is>
      </c>
      <c r="H1381" t="inlineStr">
        <is>
          <t>GOVERNO DECIDE BARRAR ENTRADA DE FUNCIONÁRIOS VENEZUELANOS NO BRASIL</t>
        </is>
      </c>
      <c r="I1381" t="inlineStr">
        <is>
          <t>SEGUNDO PORTARIA PUBLICADA NO 'DIÁRIO OFICIAL DA UNIÃO', A MEDIDA VALE PARA 'ALTOS FUNCIONÁRIOS DO REGIME VENEZUELANO'. DECISÃO É ASSINADA POR SÉRGIO MORO E ERNESTO ARAÚJO.</t>
        </is>
      </c>
      <c r="J1381">
        <f>HYPERLINK("https://g1.globo.com/politica/noticia/2019/08/20/governo-decide-barrar-entrada-de-funcionarios-venezuelanos-no-brasil.ghtml", "URL")</f>
        <v/>
      </c>
      <c r="K1381">
        <f>HYPERLINK("https://raw.githubusercontent.com/marcosmapl/dataset_imigrantes/main/noticias_filtered/g1/venezuelanos/2019/07_ago/html/g1_8ad1ed6e-2326-11ed-b24f-6dbe51e79fca_3983.html", "HTML")</f>
        <v/>
      </c>
      <c r="L1381">
        <f>HYPERLINK("https://raw.githubusercontent.com/marcosmapl/dataset_imigrantes/main/noticias_filtered/g1/venezuelanos/2019/07_ago/txt/g1_8ad1ed6e-2326-11ed-b24f-6dbe51e79fca_3983.txt", "TXT")</f>
        <v/>
      </c>
    </row>
    <row r="1382">
      <c r="A1382" s="1" t="n">
        <v>1380</v>
      </c>
      <c r="B1382" t="n">
        <v>2019</v>
      </c>
      <c r="C1382" s="2" t="n">
        <v>43697.42896990741</v>
      </c>
      <c r="D1382" t="inlineStr">
        <is>
          <t>A CRITICA</t>
        </is>
      </c>
      <c r="E1382" t="inlineStr">
        <is>
          <t>AMBOS</t>
        </is>
      </c>
      <c r="F1382" t="inlineStr">
        <is>
          <t>MANAUS</t>
        </is>
      </c>
      <c r="G1382" t="inlineStr">
        <is>
          <t>LUIZ G. MELO</t>
        </is>
      </c>
      <c r="H1382" t="inlineStr">
        <is>
          <t>CASA DE APOIO A CRIANÇAS PEDE AJUDA PARA MANTER FUNCIONAMENTO EM MANAUS</t>
        </is>
      </c>
      <c r="I1382" t="inlineStr">
        <is>
          <t>FUNCIONANDO HÁ SEIS ANOS, A CASA DE APOIO ÀS CRIANÇAS FILHAS DE MIGRANTES ESTÁ PRECISANDO DE DOAÇÕES PARA MANTER AS PORTAS ABERTAS. SAIBA COMO AJUDAR</t>
        </is>
      </c>
      <c r="J1382">
        <f>HYPERLINK("https://www.acritica.com/manaus/casa-de-apoio-a-criancas-pede-ajuda-para-manter-funcionamento-em-manaus-1.61394", "URL")</f>
        <v/>
      </c>
      <c r="K1382">
        <f>HYPERLINK("https://raw.githubusercontent.com/marcosmapl/dataset_imigrantes/main/noticias_filtered/a_critica/ambos/2019/07_ago/html/1.61394_376.html", "HTML")</f>
        <v/>
      </c>
      <c r="L1382">
        <f>HYPERLINK("https://raw.githubusercontent.com/marcosmapl/dataset_imigrantes/main/noticias_filtered/a_critica/ambos/2019/07_ago/txt/1.61394_376.txt", "TXT")</f>
        <v/>
      </c>
    </row>
    <row r="1383">
      <c r="A1383" s="1" t="n">
        <v>1381</v>
      </c>
      <c r="B1383" t="n">
        <v>2019</v>
      </c>
      <c r="C1383" s="2" t="n">
        <v>43696.9218115625</v>
      </c>
      <c r="D1383" t="inlineStr">
        <is>
          <t>G1</t>
        </is>
      </c>
      <c r="E1383" t="inlineStr">
        <is>
          <t>VENEZUELANOS</t>
        </is>
      </c>
      <c r="F1383" t="inlineStr">
        <is>
          <t>MUNDO</t>
        </is>
      </c>
      <c r="G1383" t="inlineStr">
        <is>
          <t>FRANCE PRESSE</t>
        </is>
      </c>
      <c r="H1383" t="inlineStr">
        <is>
          <t>CANADÁ VAI ACEITAR PASSAPORTES VENEZUELANOS VENCIDOS</t>
        </is>
      </c>
      <c r="I1383" t="inlineStr">
        <is>
          <t>REGRA PARA OBTENÇÃO DE VISTOS NÃO MUDA, MAS CIDADÃOS DA VENEZUELA PODERÃO UTILIZAR OS DOCUMENTOS VENCIDOS PARA ENTRAR OU PERMANECER EM TERRITÓRIO CANADENSE.</t>
        </is>
      </c>
      <c r="J1383">
        <f>HYPERLINK("https://g1.globo.com/mundo/noticia/2019/08/19/canada-vai-aceitar-passaportes-venezuelanos-vencidos.ghtml", "URL")</f>
        <v/>
      </c>
      <c r="K1383">
        <f>HYPERLINK("https://raw.githubusercontent.com/marcosmapl/dataset_imigrantes/main/noticias_filtered/g1/venezuelanos/2019/07_ago/html/g1_0f783956-2327-11ed-b24f-6dbe51e79fca_4015.html", "HTML")</f>
        <v/>
      </c>
      <c r="L1383">
        <f>HYPERLINK("https://raw.githubusercontent.com/marcosmapl/dataset_imigrantes/main/noticias_filtered/g1/venezuelanos/2019/07_ago/txt/g1_0f783956-2327-11ed-b24f-6dbe51e79fca_4015.txt", "TXT")</f>
        <v/>
      </c>
    </row>
    <row r="1384">
      <c r="A1384" s="1" t="n">
        <v>1382</v>
      </c>
      <c r="B1384" t="n">
        <v>2019</v>
      </c>
      <c r="C1384" s="2" t="n">
        <v>43696.82737498842</v>
      </c>
      <c r="D1384" t="inlineStr">
        <is>
          <t>G1</t>
        </is>
      </c>
      <c r="E1384" t="inlineStr">
        <is>
          <t>VENEZUELANOS</t>
        </is>
      </c>
      <c r="F1384" t="inlineStr">
        <is>
          <t>RIO GRANDE DO SUL</t>
        </is>
      </c>
      <c r="G1384" t="inlineStr">
        <is>
          <t>G1 RS</t>
        </is>
      </c>
      <c r="H1384" t="inlineStr">
        <is>
          <t>RIO GRANDE DO SUL RECEBE NOVOS GRUPOS DE IMIGRANTES VENEZUELANOS</t>
        </is>
      </c>
      <c r="I1384" t="inlineStr">
        <is>
          <t>NO TOTAL, 130 IMIGRANTES VIERAM PARA O ESTADO NO FIM DE SEMANA, CONFORME O EXÉRCITO, PARA CIDADES DO INTERIOR E DA REGIÃO METROPOLITANA DE PORTO ALEGRE. MINISTÉRIO CONFIRMA VINDA DE MAIS 10 VENEZUELANOS NA TERÇA-FEIRA (20).</t>
        </is>
      </c>
      <c r="J1384">
        <f>HYPERLINK("https://g1.globo.com/rs/rio-grande-do-sul/noticia/2019/08/19/rio-grande-do-sul-recebe-novos-grupos-de-imigrantes-venezuelanos.ghtml", "URL")</f>
        <v/>
      </c>
      <c r="K1384">
        <f>HYPERLINK("https://raw.githubusercontent.com/marcosmapl/dataset_imigrantes/main/noticias_filtered/g1/venezuelanos/2019/07_ago/html/g1_61a16f8e-2324-11ed-b24f-6dbe51e79fca_3868.html", "HTML")</f>
        <v/>
      </c>
      <c r="L1384">
        <f>HYPERLINK("https://raw.githubusercontent.com/marcosmapl/dataset_imigrantes/main/noticias_filtered/g1/venezuelanos/2019/07_ago/txt/g1_61a16f8e-2324-11ed-b24f-6dbe51e79fca_3868.txt", "TXT")</f>
        <v/>
      </c>
    </row>
    <row r="1385">
      <c r="A1385" s="1" t="n">
        <v>1383</v>
      </c>
      <c r="B1385" t="n">
        <v>2019</v>
      </c>
      <c r="C1385" s="2" t="n">
        <v>43696.57579850694</v>
      </c>
      <c r="D1385" t="inlineStr">
        <is>
          <t>G1</t>
        </is>
      </c>
      <c r="E1385" t="inlineStr">
        <is>
          <t>VENEZUELANOS</t>
        </is>
      </c>
      <c r="F1385" t="inlineStr">
        <is>
          <t>AMAZONAS</t>
        </is>
      </c>
      <c r="G1385" t="inlineStr">
        <is>
          <t>G1 AM</t>
        </is>
      </c>
      <c r="H1385" t="inlineStr">
        <is>
          <t>IDOSO É BALEADO EM TENTATIVA DE HOMICÍDIO DE VENEZUELANO NA ZONA LESTE DE MANAUS, DIZ POLÍCIA</t>
        </is>
      </c>
      <c r="I1385" t="inlineStr">
        <is>
          <t>POLÍCIA DIZ QUE SUSPEITOS QUERIAM ATINGIR VENEZUELANO, QUE É EX-PRESIDIÁRIO.</t>
        </is>
      </c>
      <c r="J1385">
        <f>HYPERLINK("https://g1.globo.com/am/amazonas/noticia/2019/08/19/idoso-e-baleado-em-tentativa-de-homicidio-de-venezuelano-na-zona-leste-de-manaus-diz-policia.ghtml", "URL")</f>
        <v/>
      </c>
      <c r="K1385">
        <f>HYPERLINK("https://raw.githubusercontent.com/marcosmapl/dataset_imigrantes/main/noticias_filtered/g1/venezuelanos/2019/07_ago/html/g1_6d198ab2-2311-11ed-b24f-6dbe51e79fca_2914.html", "HTML")</f>
        <v/>
      </c>
      <c r="L1385">
        <f>HYPERLINK("https://raw.githubusercontent.com/marcosmapl/dataset_imigrantes/main/noticias_filtered/g1/venezuelanos/2019/07_ago/txt/g1_6d198ab2-2311-11ed-b24f-6dbe51e79fca_2914.txt", "TXT")</f>
        <v/>
      </c>
    </row>
    <row r="1386">
      <c r="A1386" s="1" t="n">
        <v>1384</v>
      </c>
      <c r="B1386" t="n">
        <v>2019</v>
      </c>
      <c r="C1386" s="2" t="n">
        <v>43696.55208333334</v>
      </c>
      <c r="D1386" t="inlineStr">
        <is>
          <t>A CRITICA</t>
        </is>
      </c>
      <c r="E1386" t="inlineStr">
        <is>
          <t>AMBOS</t>
        </is>
      </c>
      <c r="F1386" t="inlineStr"/>
      <c r="G1386" t="inlineStr">
        <is>
          <t>SUELEN GONÇALVES</t>
        </is>
      </c>
      <c r="H1386" t="inlineStr">
        <is>
          <t>'O SUS ESTÁ CADA VEZ MAIS CARO E MAL UTILIZADO', DIZ DOUTOR EM BIOÉTICA</t>
        </is>
      </c>
      <c r="I1386" t="inlineStr">
        <is>
          <t>PLÍNIO MONTEIRO COMPARA OS MODELOS DE SISTEMAS DE SAÚDE DO BRASIL, ONDE O SERVIÇO É UM DIREITO, AO DOS ESTADOS UNIDOS, QUE O TRATA COMO MERCADORIA E ALERTA: BRASIL INVESTE ERRADO EM SAÚDE E "CAMINHA" PARA AMPLIAR MODELO MERCADOLÓGICO, PREJUDICANDO QUEM TEM MENOS RENDA</t>
        </is>
      </c>
      <c r="J1386">
        <f>HYPERLINK("https://www.acritica.com/o-sus-esta-cada-vez-mais-caro-e-mal-utilizado-diz-doutor-em-bioetica-1.61432", "URL")</f>
        <v/>
      </c>
      <c r="K1386">
        <f>HYPERLINK("https://raw.githubusercontent.com/marcosmapl/dataset_imigrantes/main/noticias_filtered/a_critica/ambos/2019/07_ago/html/1.61432_199.html", "HTML")</f>
        <v/>
      </c>
      <c r="L1386">
        <f>HYPERLINK("https://raw.githubusercontent.com/marcosmapl/dataset_imigrantes/main/noticias_filtered/a_critica/ambos/2019/07_ago/txt/1.61432_199.txt", "TXT")</f>
        <v/>
      </c>
    </row>
    <row r="1387">
      <c r="A1387" s="1" t="n">
        <v>1385</v>
      </c>
      <c r="B1387" t="n">
        <v>2019</v>
      </c>
      <c r="C1387" s="2" t="n">
        <v>43696.44166666667</v>
      </c>
      <c r="D1387" t="inlineStr">
        <is>
          <t>PORTAL AMAZONIA</t>
        </is>
      </c>
      <c r="E1387" t="inlineStr">
        <is>
          <t>VENEZUELANOS</t>
        </is>
      </c>
      <c r="F1387" t="inlineStr">
        <is>
          <t>CIDADES</t>
        </is>
      </c>
      <c r="G1387" t="inlineStr">
        <is>
          <t>REDAÇÃO</t>
        </is>
      </c>
      <c r="H1387" t="inlineStr">
        <is>
          <t>ALTO COMISSÁRIO DA ONU PARA REFUGIADOS PEDE APOIO INTERNACIONAL A ACOLHIDA DE VENEZUELANOS</t>
        </is>
      </c>
      <c r="I1387" t="inlineStr">
        <is>
          <t>O ALTO COMISSÁRIO DA AGÊNCIA PARA REFUGIADOS DA ONU (ACNUR), FILIPPO GRANDI, AFIRMOU QUE VEIO AO BRASIL CONHECER A SITUAÇÃO PESSOALMENTE PARA PODER PEDIR À COMUNIDADE INTERNACIONAL MAIS RECURSOS PARA QUE OS PAÍSES DA REGIÃO TENHAM A CAPACIDADE DE ACO</t>
        </is>
      </c>
      <c r="J1387">
        <f>HYPERLINK("https://portalamazonia.com/noticias/cidades/alto-comissario-da-onu-para-refugiados-pede-apoio-internacional-a-acolhida-de-venezuelanos", "URL")</f>
        <v/>
      </c>
      <c r="K1387">
        <f>HYPERLINK("https://raw.githubusercontent.com/marcosmapl/dataset_imigrantes/main/noticias_filtered/portal_amazonia/venezuelanos/2019/07_ago/html/24186.24186_1552.html", "HTML")</f>
        <v/>
      </c>
      <c r="L1387">
        <f>HYPERLINK("https://raw.githubusercontent.com/marcosmapl/dataset_imigrantes/main/noticias_filtered/portal_amazonia/venezuelanos/2019/07_ago/txt/24186.24186_1552.txt", "TXT")</f>
        <v/>
      </c>
    </row>
    <row r="1388">
      <c r="A1388" s="1" t="n">
        <v>1386</v>
      </c>
      <c r="B1388" t="n">
        <v>2019</v>
      </c>
      <c r="C1388" s="2" t="n">
        <v>43694.79133101852</v>
      </c>
      <c r="D1388" t="inlineStr">
        <is>
          <t>A CRITICA</t>
        </is>
      </c>
      <c r="E1388" t="inlineStr">
        <is>
          <t>VENEZUELANOS</t>
        </is>
      </c>
      <c r="F1388" t="inlineStr">
        <is>
          <t>MANAUS</t>
        </is>
      </c>
      <c r="G1388" t="inlineStr">
        <is>
          <t>PORTAL A CRÍTICA</t>
        </is>
      </c>
      <c r="H1388" t="inlineStr">
        <is>
          <t>REFUGIADOS VENEZUELANOS RECEBEM SERVIÇOS DE SAÚDE NA RODOVIÁRIA DE MANAUS</t>
        </is>
      </c>
      <c r="I1388" t="inlineStr">
        <is>
          <t>ENTRE OS ATENDIMENTOS OFERECIDOS ESTAVAM CONSULTAS MÉDICAS, VACINAÇÕES E TESTES RÁPIDOS</t>
        </is>
      </c>
      <c r="J1388">
        <f>HYPERLINK("https://www.acritica.com/manaus/refugiados-venezuelanos-recebem-servicos-de-saude-na-rodoviaria-de-manaus-1.61521", "URL")</f>
        <v/>
      </c>
      <c r="K1388">
        <f>HYPERLINK("https://raw.githubusercontent.com/marcosmapl/dataset_imigrantes/main/noticias_filtered/a_critica/venezuelanos/2019/07_ago/html/1.61521_629.html", "HTML")</f>
        <v/>
      </c>
      <c r="L1388">
        <f>HYPERLINK("https://raw.githubusercontent.com/marcosmapl/dataset_imigrantes/main/noticias_filtered/a_critica/venezuelanos/2019/07_ago/txt/1.61521_629.txt", "TXT")</f>
        <v/>
      </c>
    </row>
    <row r="1389">
      <c r="A1389" s="1" t="n">
        <v>1387</v>
      </c>
      <c r="B1389" t="n">
        <v>2019</v>
      </c>
      <c r="C1389" s="2" t="n">
        <v>43693.66129872685</v>
      </c>
      <c r="D1389" t="inlineStr">
        <is>
          <t>G1</t>
        </is>
      </c>
      <c r="E1389" t="inlineStr">
        <is>
          <t>VENEZUELANOS</t>
        </is>
      </c>
      <c r="F1389" t="inlineStr">
        <is>
          <t>RORAIMA</t>
        </is>
      </c>
      <c r="G1389" t="inlineStr">
        <is>
          <t>G1 RR — BOA VISTA</t>
        </is>
      </c>
      <c r="H1389" t="inlineStr">
        <is>
          <t>VENEZUELANO É ACHADO DECAPITADO E SEM UM DOS BRAÇOS EM TERRENO BALDIO EM BOA VISTA</t>
        </is>
      </c>
      <c r="I1389" t="inlineStr">
        <is>
          <t>VÍTIMA FOI IDENTIFICADA COMO DIEGO ANDRES PIAMO, DE 20 ANOS; ELE TAMBÉM TINHA ALGEMA NO PULSO DIREITO E ESTAVA COM AS PERNAS AMARRADAS COM UMA LONA.</t>
        </is>
      </c>
      <c r="J1389">
        <f>HYPERLINK("https://g1.globo.com/rr/roraima/noticia/2019/08/16/venezuelano-e-achado-decapitado-e-sem-um-dos-bracos-em-terreno-baldio-em-boa-vista.ghtml", "URL")</f>
        <v/>
      </c>
      <c r="K1389">
        <f>HYPERLINK("https://raw.githubusercontent.com/marcosmapl/dataset_imigrantes/main/noticias_filtered/g1/venezuelanos/2019/07_ago/html/g1_c6390bc2-232a-11ed-b24f-6dbe51e79fca_4202.html", "HTML")</f>
        <v/>
      </c>
      <c r="L1389">
        <f>HYPERLINK("https://raw.githubusercontent.com/marcosmapl/dataset_imigrantes/main/noticias_filtered/g1/venezuelanos/2019/07_ago/txt/g1_c6390bc2-232a-11ed-b24f-6dbe51e79fca_4202.txt", "TXT")</f>
        <v/>
      </c>
    </row>
    <row r="1390">
      <c r="A1390" s="1" t="n">
        <v>1388</v>
      </c>
      <c r="B1390" t="n">
        <v>2019</v>
      </c>
      <c r="C1390" s="2" t="n">
        <v>43693.61041666667</v>
      </c>
      <c r="D1390" t="inlineStr">
        <is>
          <t>A CRITICA</t>
        </is>
      </c>
      <c r="E1390" t="inlineStr">
        <is>
          <t>VENEZUELANOS</t>
        </is>
      </c>
      <c r="F1390" t="inlineStr">
        <is>
          <t>MANAUS</t>
        </is>
      </c>
      <c r="G1390" t="inlineStr">
        <is>
          <t>PORTAL A CRÍTICA</t>
        </is>
      </c>
      <c r="H1390" t="inlineStr">
        <is>
          <t>DPE ABRE POSTOS DE COLETA DE ALIMENTOS PARA VENEZUELANOS ACOLHIDOS EM MANAUS</t>
        </is>
      </c>
      <c r="I1390" t="inlineStr">
        <is>
          <t>A AÇÃO VISA ARRECADAR BISCOITOS DOCES E BOLACHAS, CAFÉ, LEITE, FLOCOS DE MILHO, FARINHA DE TRIGO, MARGARINA, ÓLEO VEGETAL, FEIJÃO PRETO, PROTEÍNAS E PRODUTOS DE HIGIENE</t>
        </is>
      </c>
      <c r="J1390">
        <f>HYPERLINK("https://www.acritica.com/manaus/dpe-abre-postos-de-coleta-de-alimentos-para-venezuelanos-acolhidos-em-manaus-1.61861", "URL")</f>
        <v/>
      </c>
      <c r="K1390">
        <f>HYPERLINK("https://raw.githubusercontent.com/marcosmapl/dataset_imigrantes/main/noticias_filtered/a_critica/venezuelanos/2019/07_ago/html/1.61861_1069.html", "HTML")</f>
        <v/>
      </c>
      <c r="L1390">
        <f>HYPERLINK("https://raw.githubusercontent.com/marcosmapl/dataset_imigrantes/main/noticias_filtered/a_critica/venezuelanos/2019/07_ago/txt/1.61861_1069.txt", "TXT")</f>
        <v/>
      </c>
    </row>
    <row r="1391">
      <c r="A1391" s="1" t="n">
        <v>1389</v>
      </c>
      <c r="B1391" t="n">
        <v>2019</v>
      </c>
      <c r="C1391" s="2" t="n">
        <v>43693.59956018518</v>
      </c>
      <c r="D1391" t="inlineStr">
        <is>
          <t>A CRITICA</t>
        </is>
      </c>
      <c r="E1391" t="inlineStr">
        <is>
          <t>VENEZUELANOS</t>
        </is>
      </c>
      <c r="F1391" t="inlineStr">
        <is>
          <t>MANAUS</t>
        </is>
      </c>
      <c r="G1391" t="inlineStr">
        <is>
          <t>DANIEL AMORIM</t>
        </is>
      </c>
      <c r="H1391" t="inlineStr">
        <is>
          <t>MORANDO AO RELENTO: DUAS MIL PESSOAS VIVEM EM SITUAÇÃO DE RUA EM MANAUS</t>
        </is>
      </c>
      <c r="I1391" t="inlineStr">
        <is>
          <t>QUEBRA DO VÍNCULO FAMILIAR, DESILUSÕES AMOROSAS E PRECONCEITO SÃO FATORES QUE LEVAM AO ABANDONO DO LAR</t>
        </is>
      </c>
      <c r="J1391">
        <f>HYPERLINK("https://www.acritica.com/manaus/morando-ao-relento-duas-mil-pessoas-vivem-em-situac-o-de-rua-em-manaus-1.61863", "URL")</f>
        <v/>
      </c>
      <c r="K1391">
        <f>HYPERLINK("https://raw.githubusercontent.com/marcosmapl/dataset_imigrantes/main/noticias_filtered/a_critica/venezuelanos/2019/07_ago/html/1.61863_273.html", "HTML")</f>
        <v/>
      </c>
      <c r="L1391">
        <f>HYPERLINK("https://raw.githubusercontent.com/marcosmapl/dataset_imigrantes/main/noticias_filtered/a_critica/venezuelanos/2019/07_ago/txt/1.61863_273.txt", "TXT")</f>
        <v/>
      </c>
    </row>
    <row r="1392">
      <c r="A1392" s="1" t="n">
        <v>1390</v>
      </c>
      <c r="B1392" t="n">
        <v>2019</v>
      </c>
      <c r="C1392" s="2" t="n">
        <v>43692.50712962963</v>
      </c>
      <c r="D1392" t="inlineStr">
        <is>
          <t>A CRITICA</t>
        </is>
      </c>
      <c r="E1392" t="inlineStr">
        <is>
          <t>VENEZUELANOS</t>
        </is>
      </c>
      <c r="F1392" t="inlineStr"/>
      <c r="G1392" t="inlineStr">
        <is>
          <t>AGÊNCIA BRASIL</t>
        </is>
      </c>
      <c r="H1392" t="inlineStr">
        <is>
          <t>MADURO ACUSA EX-PRESIDENTE COLOMBIANO DE PLANO PARA ASSASSINÁ-LO</t>
        </is>
      </c>
      <c r="I1392" t="inlineStr">
        <is>
          <t>PARA NÍCOLAS MADURO, NA COLÔMBIA "ESTÃO ATERRORIZADOS COM A REVOLUÇÃO CHAVISTA BOLIVARIANA" E É POR ISSO PLANEJAM O ATAQUE</t>
        </is>
      </c>
      <c r="J1392">
        <f>HYPERLINK("https://www.acritica.com/maduro-acusa-ex-presidente-colombiano-de-plano-para-assassina-lo-1.61917", "URL")</f>
        <v/>
      </c>
      <c r="K1392">
        <f>HYPERLINK("https://raw.githubusercontent.com/marcosmapl/dataset_imigrantes/main/noticias_filtered/a_critica/venezuelanos/2019/07_ago/html/1.61917_997.html", "HTML")</f>
        <v/>
      </c>
      <c r="L1392">
        <f>HYPERLINK("https://raw.githubusercontent.com/marcosmapl/dataset_imigrantes/main/noticias_filtered/a_critica/venezuelanos/2019/07_ago/txt/1.61917_997.txt", "TXT")</f>
        <v/>
      </c>
    </row>
    <row r="1393">
      <c r="A1393" s="1" t="n">
        <v>1391</v>
      </c>
      <c r="B1393" t="n">
        <v>2019</v>
      </c>
      <c r="C1393" s="2" t="n">
        <v>43691.61387731481</v>
      </c>
      <c r="D1393" t="inlineStr">
        <is>
          <t>A CRITICA</t>
        </is>
      </c>
      <c r="E1393" t="inlineStr">
        <is>
          <t>VENEZUELANOS</t>
        </is>
      </c>
      <c r="F1393" t="inlineStr"/>
      <c r="G1393" t="inlineStr">
        <is>
          <t>AGÊNCIA BRASIL</t>
        </is>
      </c>
      <c r="H1393" t="inlineStr">
        <is>
          <t>MINISTRO DA DEFESA NEGA POSSÍVEL GOLPE DE ESTADO NA VENEZUELA</t>
        </is>
      </c>
      <c r="I1393" t="inlineStr">
        <is>
          <t>GENERAL PADRINO LÓPEZ, ACRESCENTOU QUE OS MILITARES VÃO "DEFENDER A DEMOCRACIA" E O "PRESIDENTE NICOLÁS MADURO, ELEITO PELO POVO"</t>
        </is>
      </c>
      <c r="J1393">
        <f>HYPERLINK("https://www.acritica.com/ministro-da-defesa-nega-possivel-golpe-de-estado-na-venezuela-1.61958", "URL")</f>
        <v/>
      </c>
      <c r="K1393">
        <f>HYPERLINK("https://raw.githubusercontent.com/marcosmapl/dataset_imigrantes/main/noticias_filtered/a_critica/venezuelanos/2019/07_ago/html/1.61958_640.html", "HTML")</f>
        <v/>
      </c>
      <c r="L1393">
        <f>HYPERLINK("https://raw.githubusercontent.com/marcosmapl/dataset_imigrantes/main/noticias_filtered/a_critica/venezuelanos/2019/07_ago/txt/1.61958_640.txt", "TXT")</f>
        <v/>
      </c>
    </row>
    <row r="1394">
      <c r="A1394" s="1" t="n">
        <v>1392</v>
      </c>
      <c r="B1394" t="n">
        <v>2019</v>
      </c>
      <c r="C1394" s="2" t="n">
        <v>43689.90447422454</v>
      </c>
      <c r="D1394" t="inlineStr">
        <is>
          <t>G1</t>
        </is>
      </c>
      <c r="E1394" t="inlineStr">
        <is>
          <t>HAITIANOS</t>
        </is>
      </c>
      <c r="F1394" t="inlineStr">
        <is>
          <t>RIO GRANDE DO SUL</t>
        </is>
      </c>
      <c r="G1394" t="inlineStr">
        <is>
          <t>G1 RS</t>
        </is>
      </c>
      <c r="H1394" t="inlineStr">
        <is>
          <t>VÍDEO MOSTRA SUSPEITO DE MATAR HAITIANA EM GRAVATAÍ MEXENDO NO CAIXA DO MOTEL; ASSISTA</t>
        </is>
      </c>
      <c r="I1394" t="inlineStr">
        <is>
          <t>PARA A POLÍCIA, TRATA-SE DE LATROCÍNIO. GERMANINE PAUL, DE 29 ANOS, FOI MORTA NO ÚLTIMO SÁBADO (10), ENQUANTO TRABALHAVA NA RECEPÇÃO DO LOCAL.</t>
        </is>
      </c>
      <c r="J1394">
        <f>HYPERLINK("https://g1.globo.com/rs/rio-grande-do-sul/noticia/2019/08/12/video-mostra-suspeito-de-matar-haitiana-em-gravatai-mexendo-no-caixa-do-motel-assista.ghtml", "URL")</f>
        <v/>
      </c>
      <c r="K1394">
        <f>HYPERLINK("https://raw.githubusercontent.com/marcosmapl/dataset_imigrantes/main/noticias_filtered/g1/haitianos/2019/07_ago/html/g1_541faab2-2322-11ed-b24f-6dbe51e79fca_3747.html", "HTML")</f>
        <v/>
      </c>
      <c r="L1394">
        <f>HYPERLINK("https://raw.githubusercontent.com/marcosmapl/dataset_imigrantes/main/noticias_filtered/g1/haitianos/2019/07_ago/txt/g1_541faab2-2322-11ed-b24f-6dbe51e79fca_3747.txt", "TXT")</f>
        <v/>
      </c>
    </row>
    <row r="1395">
      <c r="A1395" s="1" t="n">
        <v>1393</v>
      </c>
      <c r="B1395" t="n">
        <v>2019</v>
      </c>
      <c r="C1395" s="2" t="n">
        <v>43689.81111111111</v>
      </c>
      <c r="D1395" t="inlineStr">
        <is>
          <t>PORTAL AMAZONIA</t>
        </is>
      </c>
      <c r="E1395" t="inlineStr">
        <is>
          <t>VENEZUELANOS</t>
        </is>
      </c>
      <c r="F1395" t="inlineStr">
        <is>
          <t>CIDADES</t>
        </is>
      </c>
      <c r="G1395" t="inlineStr">
        <is>
          <t>REDAÇÃO</t>
        </is>
      </c>
      <c r="H1395" t="inlineStr">
        <is>
          <t>ODS: EXEMPLOS BUSCAM DIMINUIR DESIGUALDADE SOCIAL NA AMAZÔNIA</t>
        </is>
      </c>
      <c r="I1395" t="inlineStr">
        <is>
          <t>A DESIGUALDADE SOCIAL É UM TEMA QUE SEMPRE SERÁ RECORRENTE NA SOCIEDADE. ABUSO CONTRA A MULHER, RACISMO, HOMOFOBIA, XENOFOBIA E EXPLORAÇÃO CONTRA MENORES, SÃO ALGUNS DOS EXEMPLOS QUE PODEMOS DESTACAR NESSE NICHO. PARA REVERTER ESSES QUADROS, A CÚPULA</t>
        </is>
      </c>
      <c r="J1395">
        <f>HYPERLINK("https://portalamazonia.com/noticias/cidades/ods-exemplos-buscam-diminuir-desigualdade-social-na-amazonia", "URL")</f>
        <v/>
      </c>
      <c r="K1395">
        <f>HYPERLINK("https://raw.githubusercontent.com/marcosmapl/dataset_imigrantes/main/noticias_filtered/portal_amazonia/venezuelanos/2019/07_ago/html/24470.85154_1546.html", "HTML")</f>
        <v/>
      </c>
      <c r="L1395">
        <f>HYPERLINK("https://raw.githubusercontent.com/marcosmapl/dataset_imigrantes/main/noticias_filtered/portal_amazonia/venezuelanos/2019/07_ago/txt/24470.85154_1546.txt", "TXT")</f>
        <v/>
      </c>
    </row>
    <row r="1396">
      <c r="A1396" s="1" t="n">
        <v>1394</v>
      </c>
      <c r="B1396" t="n">
        <v>2019</v>
      </c>
      <c r="C1396" s="2" t="n">
        <v>43689.0233940625</v>
      </c>
      <c r="D1396" t="inlineStr">
        <is>
          <t>G1</t>
        </is>
      </c>
      <c r="E1396" t="inlineStr">
        <is>
          <t>HAITIANOS</t>
        </is>
      </c>
      <c r="F1396" t="inlineStr">
        <is>
          <t>RIO GRANDE DO SUL</t>
        </is>
      </c>
      <c r="G1396" t="inlineStr">
        <is>
          <t>BERNARDO BORTOLOTTO, RBS TV</t>
        </is>
      </c>
      <c r="H1396" t="inlineStr">
        <is>
          <t>'ESPERO JUSTIÇA', DIZ MARIDO DE HAITIANA ENCONTRADA MORTA EM QUARTO DE MOTEL EM GRAVATAÍ</t>
        </is>
      </c>
      <c r="I1396" t="inlineStr">
        <is>
          <t>GERMANIE PAUL, DE 29 ANOS, MORAVA NO BRASIL HÁ QUATRO ANOS. HÁ APROXIMADAMENTE UM ANO E MEIO, COMEÇOU A TRABALHAR NO ESTABELECIMENTO ONDE ACABOU SENDO ASSASSINADA. POLÍCIA CIVIL INVESTIGA O CRIME.</t>
        </is>
      </c>
      <c r="J1396">
        <f>HYPERLINK("https://g1.globo.com/rs/rio-grande-do-sul/noticia/2019/08/11/espero-justica-diz-marido-de-haitiana-encontrada-morta-em-quarto-de-motel-em-gravatai.ghtml", "URL")</f>
        <v/>
      </c>
      <c r="K1396">
        <f>HYPERLINK("https://raw.githubusercontent.com/marcosmapl/dataset_imigrantes/main/noticias_filtered/g1/haitianos/2019/07_ago/html/g1_35d8c9dc-22ee-11ed-b24f-6dbe51e79fca_1702.html", "HTML")</f>
        <v/>
      </c>
      <c r="L1396">
        <f>HYPERLINK("https://raw.githubusercontent.com/marcosmapl/dataset_imigrantes/main/noticias_filtered/g1/haitianos/2019/07_ago/txt/g1_35d8c9dc-22ee-11ed-b24f-6dbe51e79fca_1702.txt", "TXT")</f>
        <v/>
      </c>
    </row>
    <row r="1397">
      <c r="A1397" s="1" t="n">
        <v>1395</v>
      </c>
      <c r="B1397" t="n">
        <v>2019</v>
      </c>
      <c r="C1397" s="2" t="n">
        <v>43688.7537962963</v>
      </c>
      <c r="D1397" t="inlineStr">
        <is>
          <t>A CRITICA</t>
        </is>
      </c>
      <c r="E1397" t="inlineStr">
        <is>
          <t>VENEZUELANOS</t>
        </is>
      </c>
      <c r="F1397" t="inlineStr">
        <is>
          <t>ESPORTES</t>
        </is>
      </c>
      <c r="G1397" t="inlineStr">
        <is>
          <t>PORTAL A CRÍTICA</t>
        </is>
      </c>
      <c r="H1397" t="inlineStr">
        <is>
          <t>'PÁTIO RUN' REÚNE 3 MIL ATLETAS NESTE DOMINGO (11)</t>
        </is>
      </c>
      <c r="I1397" t="inlineStr">
        <is>
          <t>COMPETIÇÃO FOI DISPUTADA, NESTE ANO, COMO PARTE DA INAUGURAÇÃO DO NOVO PÁTIO GOURMET, LOCALIZADO NO CONJUNTO MORADA DO SOL, NA ZONA CENTRO-SUL DE MANAUS</t>
        </is>
      </c>
      <c r="J1397">
        <f>HYPERLINK("https://www.acritica.com/esportes/patio-run-reune-3-mil-atletas-neste-domingo-11-1.62943", "URL")</f>
        <v/>
      </c>
      <c r="K1397">
        <f>HYPERLINK("https://raw.githubusercontent.com/marcosmapl/dataset_imigrantes/main/noticias_filtered/a_critica/venezuelanos/2019/07_ago/html/1.62943_1135.html", "HTML")</f>
        <v/>
      </c>
      <c r="L1397">
        <f>HYPERLINK("https://raw.githubusercontent.com/marcosmapl/dataset_imigrantes/main/noticias_filtered/a_critica/venezuelanos/2019/07_ago/txt/1.62943_1135.txt", "TXT")</f>
        <v/>
      </c>
    </row>
    <row r="1398">
      <c r="A1398" s="1" t="n">
        <v>1396</v>
      </c>
      <c r="B1398" t="n">
        <v>2019</v>
      </c>
      <c r="C1398" s="2" t="n">
        <v>43688.55913052084</v>
      </c>
      <c r="D1398" t="inlineStr">
        <is>
          <t>G1</t>
        </is>
      </c>
      <c r="E1398" t="inlineStr">
        <is>
          <t>VENEZUELANOS</t>
        </is>
      </c>
      <c r="F1398" t="inlineStr">
        <is>
          <t>AMAZONAS</t>
        </is>
      </c>
      <c r="G1398" t="inlineStr">
        <is>
          <t>ELIANA NASCIMENTO, G1 AM</t>
        </is>
      </c>
      <c r="H1398" t="inlineStr">
        <is>
          <t>DE CAMINHONEIRO A DONO DE LANCHE, VENEZUELANO COMEMORA PATERNIDADE LONGE DE CASA, MAS AO LADO DOS FILHOS: 'AQUI TENHO TEMPO'</t>
        </is>
      </c>
      <c r="I1398" t="inlineStr">
        <is>
          <t>EX-CAMINHONEIRO ERICK CEDELO, 49, CHEGOU EM MANAUS HÁ UM ANO. SEUS FILHOS, ALÉM DE ESTUDAREM, AJUDAM O PAI NO EMPREENDIMENTO.</t>
        </is>
      </c>
      <c r="J1398">
        <f>HYPERLINK("https://g1.globo.com/am/amazonas/noticia/2019/08/11/de-caminhoneiro-a-dono-de-lanche-venezuelano-comemora-paternidade-longe-de-casa-mas-ao-lado-dos-filhos-aqui-tenho-tempo.ghtml", "URL")</f>
        <v/>
      </c>
      <c r="K1398">
        <f>HYPERLINK("https://raw.githubusercontent.com/marcosmapl/dataset_imigrantes/main/noticias_filtered/g1/venezuelanos/2019/07_ago/html/g1_cdf05bf6-230f-11ed-b24f-6dbe51e79fca_2820.html", "HTML")</f>
        <v/>
      </c>
      <c r="L1398">
        <f>HYPERLINK("https://raw.githubusercontent.com/marcosmapl/dataset_imigrantes/main/noticias_filtered/g1/venezuelanos/2019/07_ago/txt/g1_cdf05bf6-230f-11ed-b24f-6dbe51e79fca_2820.txt", "TXT")</f>
        <v/>
      </c>
    </row>
    <row r="1399">
      <c r="A1399" s="1" t="n">
        <v>1397</v>
      </c>
      <c r="B1399" t="n">
        <v>2019</v>
      </c>
      <c r="C1399" s="2" t="n">
        <v>43687.88070048611</v>
      </c>
      <c r="D1399" t="inlineStr">
        <is>
          <t>G1</t>
        </is>
      </c>
      <c r="E1399" t="inlineStr">
        <is>
          <t>VENEZUELANOS</t>
        </is>
      </c>
      <c r="F1399" t="inlineStr">
        <is>
          <t>AMAZONAS</t>
        </is>
      </c>
      <c r="G1399" t="inlineStr"/>
      <c r="H1399" t="inlineStr">
        <is>
          <t>COLOMBIANO E VENEZUELANO SÃO PRESOS COM MAIS DE 180 CÁPSULAS DE COCAÍNA NO ESTÔMAGO, NO INTERIOR DO AM</t>
        </is>
      </c>
      <c r="I1399" t="inlineStr">
        <is>
          <t>DUPLA FOI DESCOBERTA APÓS POLICIAIS SUSPEITAREM DE NÓDULOS NO ABDÔMEN DOS HOMENS. COLOMBIANO, SOZINHO, CARREGAVA MAIS DE 1,2 KG.</t>
        </is>
      </c>
      <c r="J1399">
        <f>HYPERLINK("https://g1.globo.com/am/amazonas/noticia/2019/08/10/colombiano-e-venezuelano-sao-presos-com-mais-de-180-capsulas-de-cocaina-no-estomago-no-interior-do-am.ghtml", "URL")</f>
        <v/>
      </c>
      <c r="K1399">
        <f>HYPERLINK("https://raw.githubusercontent.com/marcosmapl/dataset_imigrantes/main/noticias_filtered/g1/venezuelanos/2019/07_ago/html/g1_68bb916c-2308-11ed-b24f-6dbe51e79fca_2383.html", "HTML")</f>
        <v/>
      </c>
      <c r="L1399">
        <f>HYPERLINK("https://raw.githubusercontent.com/marcosmapl/dataset_imigrantes/main/noticias_filtered/g1/venezuelanos/2019/07_ago/txt/g1_68bb916c-2308-11ed-b24f-6dbe51e79fca_2383.txt", "TXT")</f>
        <v/>
      </c>
    </row>
    <row r="1400">
      <c r="A1400" s="1" t="n">
        <v>1398</v>
      </c>
      <c r="B1400" t="n">
        <v>2019</v>
      </c>
      <c r="C1400" s="2" t="n">
        <v>43687.82694619213</v>
      </c>
      <c r="D1400" t="inlineStr">
        <is>
          <t>G1</t>
        </is>
      </c>
      <c r="E1400" t="inlineStr">
        <is>
          <t>HAITIANOS</t>
        </is>
      </c>
      <c r="F1400" t="inlineStr">
        <is>
          <t>RIO GRANDE DO SUL</t>
        </is>
      </c>
      <c r="G1400" t="inlineStr">
        <is>
          <t>G1 RS E RBS TV</t>
        </is>
      </c>
      <c r="H1400" t="inlineStr">
        <is>
          <t>HAITIANA É ENCONTRADA MORTA DENTRO DE MOTEL EM GRAVATAÍ</t>
        </is>
      </c>
      <c r="I1400" t="inlineStr">
        <is>
          <t>MULHER FOI IDENTIFICADA COMO GERMANIE PAUL, DE 29 ANOS. ELA TRABALHAVA COMO RECEPCIONISTA DO MOTEL. SEGUNDO DELEGADO, PRINCIPAL HIPÓTESE É LATROCÍNIO.</t>
        </is>
      </c>
      <c r="J1400">
        <f>HYPERLINK("https://g1.globo.com/rs/rio-grande-do-sul/noticia/2019/08/10/haitiana-e-encontrada-morta-dentro-de-motel-em-gravatai.ghtml", "URL")</f>
        <v/>
      </c>
      <c r="K1400">
        <f>HYPERLINK("https://raw.githubusercontent.com/marcosmapl/dataset_imigrantes/main/noticias_filtered/g1/haitianos/2019/07_ago/html/g1_a1f508ba-231b-11ed-b24f-6dbe51e79fca_3397.html", "HTML")</f>
        <v/>
      </c>
      <c r="L1400">
        <f>HYPERLINK("https://raw.githubusercontent.com/marcosmapl/dataset_imigrantes/main/noticias_filtered/g1/haitianos/2019/07_ago/txt/g1_a1f508ba-231b-11ed-b24f-6dbe51e79fca_3397.txt", "TXT")</f>
        <v/>
      </c>
    </row>
    <row r="1401">
      <c r="A1401" s="1" t="n">
        <v>1399</v>
      </c>
      <c r="B1401" t="n">
        <v>2019</v>
      </c>
      <c r="C1401" s="2" t="n">
        <v>43686.70833333334</v>
      </c>
      <c r="D1401" t="inlineStr">
        <is>
          <t>A CRITICA</t>
        </is>
      </c>
      <c r="E1401" t="inlineStr">
        <is>
          <t>VENEZUELANOS</t>
        </is>
      </c>
      <c r="F1401" t="inlineStr">
        <is>
          <t>MANAUS</t>
        </is>
      </c>
      <c r="G1401" t="inlineStr">
        <is>
          <t>JOHNY VASCONCELOS</t>
        </is>
      </c>
      <c r="H1401" t="inlineStr">
        <is>
          <t>DESAPARECIMENTO DE ADOLESCENTE NA PONTA NEGRA AINDA É UM MISTÉRIO</t>
        </is>
      </c>
      <c r="I1401" t="inlineStr">
        <is>
          <t>PRESTES A COMPLETAR 8 MESES DE DESAPARECIDO, RAYNER VINICIUS DA SILVA GONÇALVES, 15, SAIU DE CASA PARA CAMINHAR NA PONTA NEGRA. UM DIA APÓS O SUMIÇO, VENEZUELANA ATENDEU LIGAÇÃO NO CELULAR DO JOVEM E FALOU QUE ELE TERIA MORRIDO</t>
        </is>
      </c>
      <c r="J1401">
        <f>HYPERLINK("https://www.acritica.com/manaus/desaparecimento-de-adolescente-na-ponta-negra-ainda-e-um-misterio-1.61793", "URL")</f>
        <v/>
      </c>
      <c r="K1401">
        <f>HYPERLINK("https://raw.githubusercontent.com/marcosmapl/dataset_imigrantes/main/noticias_filtered/a_critica/venezuelanos/2019/07_ago/html/1.61793_1104.html", "HTML")</f>
        <v/>
      </c>
      <c r="L1401">
        <f>HYPERLINK("https://raw.githubusercontent.com/marcosmapl/dataset_imigrantes/main/noticias_filtered/a_critica/venezuelanos/2019/07_ago/txt/1.61793_1104.txt", "TXT")</f>
        <v/>
      </c>
    </row>
    <row r="1402">
      <c r="A1402" s="1" t="n">
        <v>1400</v>
      </c>
      <c r="B1402" t="n">
        <v>2019</v>
      </c>
      <c r="C1402" s="2" t="n">
        <v>43685.50144604166</v>
      </c>
      <c r="D1402" t="inlineStr">
        <is>
          <t>G1</t>
        </is>
      </c>
      <c r="E1402" t="inlineStr">
        <is>
          <t>VENEZUELANOS</t>
        </is>
      </c>
      <c r="F1402" t="inlineStr">
        <is>
          <t>MUNDO</t>
        </is>
      </c>
      <c r="G1402" t="inlineStr">
        <is>
          <t>G1</t>
        </is>
      </c>
      <c r="H1402" t="inlineStr">
        <is>
          <t>GRUPOS ARMADOS NA COLÔMBIA RECRUTAM CRIANÇAS DE FAMÍLIAS VENEZUELANAS, DIZ ONG</t>
        </is>
      </c>
      <c r="I1402" t="inlineStr">
        <is>
          <t>RELATÓRIO DA HUMAN RIGHTS WATCH REVELA SÉRIE DE HOMICÍDIOS, RECRUTAMENTO FORÇADO DE CRIANÇAS E EXPULSÃO DE FAMÍLIAS EM REGIÃO DA COLÔMBIA DISPUTADA POR TRÊS GRUPOS ARMADOS.</t>
        </is>
      </c>
      <c r="J1402">
        <f>HYPERLINK("https://g1.globo.com/mundo/noticia/2019/08/08/grupos-armados-na-colombia-recrutam-criancas-de-familias-venezuelanas-diz-ong.ghtml", "URL")</f>
        <v/>
      </c>
      <c r="K1402">
        <f>HYPERLINK("https://raw.githubusercontent.com/marcosmapl/dataset_imigrantes/main/noticias_filtered/g1/venezuelanos/2019/07_ago/html/g1_def8f3ba-231c-11ed-b24f-6dbe51e79fca_3470.html", "HTML")</f>
        <v/>
      </c>
      <c r="L1402">
        <f>HYPERLINK("https://raw.githubusercontent.com/marcosmapl/dataset_imigrantes/main/noticias_filtered/g1/venezuelanos/2019/07_ago/txt/g1_def8f3ba-231c-11ed-b24f-6dbe51e79fca_3470.txt", "TXT")</f>
        <v/>
      </c>
    </row>
    <row r="1403">
      <c r="A1403" s="1" t="n">
        <v>1401</v>
      </c>
      <c r="B1403" t="n">
        <v>2019</v>
      </c>
      <c r="C1403" s="2" t="n">
        <v>43685.48304398148</v>
      </c>
      <c r="D1403" t="inlineStr">
        <is>
          <t>A CRITICA</t>
        </is>
      </c>
      <c r="E1403" t="inlineStr">
        <is>
          <t>VENEZUELANOS</t>
        </is>
      </c>
      <c r="F1403" t="inlineStr"/>
      <c r="G1403" t="inlineStr">
        <is>
          <t>AGÊNCIA BRASIL</t>
        </is>
      </c>
      <c r="H1403" t="inlineStr">
        <is>
          <t>MADURO CONVOCA PROTESTO MUNDIAL CONTRA BLOQUEIO IMPOSTO PELOS EUA</t>
        </is>
      </c>
      <c r="I1403" t="inlineStr">
        <is>
          <t>O PRESIDENTE VENEZUELANO PEDIU A MÁXIMA MOBILIZAÇÃO POPULAR, DE TODOS OS SETORES PRODUTIVOS DO PAÍS, DAS INSTITUIÇÕES DO ESTADO E DOS MILITARES PARA CONDENAR O BLOQUEIO</t>
        </is>
      </c>
      <c r="J1403">
        <f>HYPERLINK("https://www.acritica.com/maduro-convoca-protesto-mundial-contra-bloqueio-imposto-pelos-eua-1.63076", "URL")</f>
        <v/>
      </c>
      <c r="K1403">
        <f>HYPERLINK("https://raw.githubusercontent.com/marcosmapl/dataset_imigrantes/main/noticias_filtered/a_critica/venezuelanos/2019/07_ago/html/1.63076_951.html", "HTML")</f>
        <v/>
      </c>
      <c r="L1403">
        <f>HYPERLINK("https://raw.githubusercontent.com/marcosmapl/dataset_imigrantes/main/noticias_filtered/a_critica/venezuelanos/2019/07_ago/txt/1.63076_951.txt", "TXT")</f>
        <v/>
      </c>
    </row>
    <row r="1404">
      <c r="A1404" s="1" t="n">
        <v>1402</v>
      </c>
      <c r="B1404" t="n">
        <v>2019</v>
      </c>
      <c r="C1404" s="2" t="n">
        <v>43684.83819444444</v>
      </c>
      <c r="D1404" t="inlineStr">
        <is>
          <t>PORTAL AMAZONIA</t>
        </is>
      </c>
      <c r="E1404" t="inlineStr">
        <is>
          <t>VENEZUELANOS</t>
        </is>
      </c>
      <c r="F1404" t="inlineStr">
        <is>
          <t>CIDADES</t>
        </is>
      </c>
      <c r="G1404" t="inlineStr">
        <is>
          <t>REDAÇÃO</t>
        </is>
      </c>
      <c r="H1404" t="inlineStr">
        <is>
          <t>MOSCA DA CARAMBOLA PREJUDICA EXPORTAÇÃO DE FRUTAS EM RORAIMA</t>
        </is>
      </c>
      <c r="I1404" t="inlineStr">
        <is>
          <t>SETE MUNICÍPIOS DE RORAIMA ESTÃO EM QUARENTENA POR CAUSA DA MOSCA DA CARAMBOLA E PRODUTORES DE FRUTAS DO ESTADO ESTÃO IMPEDIDOS DE EXPORTAR SEUS PRODUTOS PORQUE DUAS BARREIRAS FITOSSANITÁRIAS ESTÃO INATIVAS. ESSAS ESTRUTURAS AJUDAM A CONTROLAR A PASS</t>
        </is>
      </c>
      <c r="J1404">
        <f>HYPERLINK("https://portalamazonia.com/noticias/cidades/mosca-da-carambola-prejudica-exportacao-de-frutas-em-roraima", "URL")</f>
        <v/>
      </c>
      <c r="K1404">
        <f>HYPERLINK("https://raw.githubusercontent.com/marcosmapl/dataset_imigrantes/main/noticias_filtered/portal_amazonia/venezuelanos/2019/07_ago/html/24432.24432_1439.html", "HTML")</f>
        <v/>
      </c>
      <c r="L1404">
        <f>HYPERLINK("https://raw.githubusercontent.com/marcosmapl/dataset_imigrantes/main/noticias_filtered/portal_amazonia/venezuelanos/2019/07_ago/txt/24432.24432_1439.txt", "TXT")</f>
        <v/>
      </c>
    </row>
    <row r="1405">
      <c r="A1405" s="1" t="n">
        <v>1403</v>
      </c>
      <c r="B1405" t="n">
        <v>2019</v>
      </c>
      <c r="C1405" s="2" t="n">
        <v>43683.8375</v>
      </c>
      <c r="D1405" t="inlineStr">
        <is>
          <t>A CRITICA</t>
        </is>
      </c>
      <c r="E1405" t="inlineStr">
        <is>
          <t>VENEZUELANOS</t>
        </is>
      </c>
      <c r="F1405" t="inlineStr">
        <is>
          <t>MANAUS</t>
        </is>
      </c>
      <c r="G1405" t="inlineStr">
        <is>
          <t>PORTAL A CRÍTICA</t>
        </is>
      </c>
      <c r="H1405" t="inlineStr">
        <is>
          <t>MINISTÉRIOS DA CIDADANIA E DEFESA DISCUTEM PLANO MIGRATÓRIO PARA VENEZUELANOS EM MANAUS</t>
        </is>
      </c>
      <c r="I1405" t="inlineStr">
        <is>
          <t>REPRESENTANTES DOS MINISTÉRIOS SE REUNIRAM COM ÓRGÃOS DO GOVERNO PARA ORGANIZAR INTERIORIZAÇÃO DE MIGRANTES</t>
        </is>
      </c>
      <c r="J1405">
        <f>HYPERLINK("https://www.acritica.com/manaus/ministerios-da-cidadania-e-defesa-discutem-plano-migratorio-para-venezuelanos-em-manaus-1.62131", "URL")</f>
        <v/>
      </c>
      <c r="K1405">
        <f>HYPERLINK("https://raw.githubusercontent.com/marcosmapl/dataset_imigrantes/main/noticias_filtered/a_critica/venezuelanos/2019/07_ago/html/1.62131_331.html", "HTML")</f>
        <v/>
      </c>
      <c r="L1405">
        <f>HYPERLINK("https://raw.githubusercontent.com/marcosmapl/dataset_imigrantes/main/noticias_filtered/a_critica/venezuelanos/2019/07_ago/txt/1.62131_331.txt", "TXT")</f>
        <v/>
      </c>
    </row>
    <row r="1406">
      <c r="A1406" s="1" t="n">
        <v>1404</v>
      </c>
      <c r="B1406" t="n">
        <v>2019</v>
      </c>
      <c r="C1406" s="2" t="n">
        <v>43683.8008449074</v>
      </c>
      <c r="D1406" t="inlineStr">
        <is>
          <t>A CRITICA</t>
        </is>
      </c>
      <c r="E1406" t="inlineStr">
        <is>
          <t>VENEZUELANOS</t>
        </is>
      </c>
      <c r="F1406" t="inlineStr"/>
      <c r="G1406" t="inlineStr">
        <is>
          <t>PORTAL A CRÍTICA</t>
        </is>
      </c>
      <c r="H1406" t="inlineStr">
        <is>
          <t>MADURO CHAMA DE 'TERRORISMO ECONÔMICO' NOVO BLOQUEIO DOS EUA</t>
        </is>
      </c>
      <c r="I1406" t="inlineStr">
        <is>
          <t>DECLARAÇÃO DO PRESIDENTE DA VENEZUELA É RETALIAÇÃO AO BLOQUEIO ECONÔMICO ANUNCIADO POR DONALD TRUMP NESSA SEGUNDA (5)</t>
        </is>
      </c>
      <c r="J1406">
        <f>HYPERLINK("https://www.acritica.com/maduro-chama-de-terrorismo-economico-novo-bloqueio-dos-eua-1.62139", "URL")</f>
        <v/>
      </c>
      <c r="K1406">
        <f>HYPERLINK("https://raw.githubusercontent.com/marcosmapl/dataset_imigrantes/main/noticias_filtered/a_critica/venezuelanos/2019/07_ago/html/1.62139_931.html", "HTML")</f>
        <v/>
      </c>
      <c r="L1406">
        <f>HYPERLINK("https://raw.githubusercontent.com/marcosmapl/dataset_imigrantes/main/noticias_filtered/a_critica/venezuelanos/2019/07_ago/txt/1.62139_931.txt", "TXT")</f>
        <v/>
      </c>
    </row>
    <row r="1407">
      <c r="A1407" s="1" t="n">
        <v>1405</v>
      </c>
      <c r="B1407" t="n">
        <v>2019</v>
      </c>
      <c r="C1407" s="2" t="n">
        <v>43683.75125</v>
      </c>
      <c r="D1407" t="inlineStr">
        <is>
          <t>A CRITICA</t>
        </is>
      </c>
      <c r="E1407" t="inlineStr">
        <is>
          <t>VENEZUELANOS</t>
        </is>
      </c>
      <c r="F1407" t="inlineStr">
        <is>
          <t>MANAUS</t>
        </is>
      </c>
      <c r="G1407" t="inlineStr">
        <is>
          <t>AMANDA GUIMARÃES</t>
        </is>
      </c>
      <c r="H1407" t="inlineStr">
        <is>
          <t>VENEZUELANA QUE ACUSOU PADRE DE ESTUPRO É INDICIADA POR DENUNCIAÇÃO CALUNIOSA</t>
        </is>
      </c>
      <c r="I1407" t="inlineStr">
        <is>
          <t>SEGUNDO A POLÍCIA CIVIL, EXAMES E CONVERSAS NÃO APONTARAM OS CRIMES DE ESTUPRO, MAS SIM QUE A IMIGRANTE E O PADRE MANTINHAM UM RELACIONAMENTO AMOROSO. O PAI DA VENEZUELANA TAMBÉM FOI INDICIADO</t>
        </is>
      </c>
      <c r="J1407">
        <f>HYPERLINK("https://www.acritica.com/manaus/venezuelana-que-acusou-padre-de-estupro-e-indiciada-por-denunciac-o-caluniosa-1.63139", "URL")</f>
        <v/>
      </c>
      <c r="K1407">
        <f>HYPERLINK("https://raw.githubusercontent.com/marcosmapl/dataset_imigrantes/main/noticias_filtered/a_critica/venezuelanos/2019/07_ago/html/1.63139_402.html", "HTML")</f>
        <v/>
      </c>
      <c r="L1407">
        <f>HYPERLINK("https://raw.githubusercontent.com/marcosmapl/dataset_imigrantes/main/noticias_filtered/a_critica/venezuelanos/2019/07_ago/txt/1.63139_402.txt", "TXT")</f>
        <v/>
      </c>
    </row>
    <row r="1408">
      <c r="A1408" s="1" t="n">
        <v>1406</v>
      </c>
      <c r="B1408" t="n">
        <v>2019</v>
      </c>
      <c r="C1408" s="2" t="n">
        <v>43683.54940972223</v>
      </c>
      <c r="D1408" t="inlineStr">
        <is>
          <t>A CRITICA</t>
        </is>
      </c>
      <c r="E1408" t="inlineStr">
        <is>
          <t>VENEZUELANOS</t>
        </is>
      </c>
      <c r="F1408" t="inlineStr"/>
      <c r="G1408" t="inlineStr">
        <is>
          <t>PORTAL A CRÍTICA</t>
        </is>
      </c>
      <c r="H1408" t="inlineStr">
        <is>
          <t>TRUMP AUMENTA PRESSÃO E CONGELA TODOS OS BENS DO GOVERNO DA VENEZUELA</t>
        </is>
      </c>
      <c r="I1408" t="inlineStr">
        <is>
          <t>PAÍSES COMO CUBA, IRÃ E CORÉIA DO NORTE JÁ SOFREM COM O BLOQUEIO ECONÔMICO PROMOVIDO PELOS EUA, QUE AGORA ATINGE A VENEZUELA. MADURO DIZ QUE 'VAI PARA A BATALHA'</t>
        </is>
      </c>
      <c r="J1408">
        <f>HYPERLINK("https://www.acritica.com/trump-aumenta-press-o-e-congela-todos-os-bens-do-governo-da-venezuela-1.63131", "URL")</f>
        <v/>
      </c>
      <c r="K1408">
        <f>HYPERLINK("https://raw.githubusercontent.com/marcosmapl/dataset_imigrantes/main/noticias_filtered/a_critica/venezuelanos/2019/07_ago/html/1.63131_48.html", "HTML")</f>
        <v/>
      </c>
      <c r="L1408">
        <f>HYPERLINK("https://raw.githubusercontent.com/marcosmapl/dataset_imigrantes/main/noticias_filtered/a_critica/venezuelanos/2019/07_ago/txt/1.63131_48.txt", "TXT")</f>
        <v/>
      </c>
    </row>
    <row r="1409">
      <c r="A1409" s="1" t="n">
        <v>1407</v>
      </c>
      <c r="B1409" t="n">
        <v>2019</v>
      </c>
      <c r="C1409" s="2" t="n">
        <v>43682.9050553125</v>
      </c>
      <c r="D1409" t="inlineStr">
        <is>
          <t>G1</t>
        </is>
      </c>
      <c r="E1409" t="inlineStr">
        <is>
          <t>VENEZUELANOS</t>
        </is>
      </c>
      <c r="F1409" t="inlineStr">
        <is>
          <t>MUNDO</t>
        </is>
      </c>
      <c r="G1409" t="inlineStr">
        <is>
          <t>REUTERS</t>
        </is>
      </c>
      <c r="H1409" t="inlineStr">
        <is>
          <t>COLÔMBIA VAI CONCEDER CIDADANIA A FILHOS DE IMIGRANTES DA VENEZUELA</t>
        </is>
      </c>
      <c r="I1409" t="inlineStr">
        <is>
          <t>MAIS DE 24 MIL CRIANÇAS SERÃO CONTEMPLADAS PELA MEDIDA, QUE VAI VIGORAR POR DOIS ANOS E VALE PARA CRIANÇAS VENEZUELANAS NASCIDAS NA COLÔMBIA DESDE AGOSTO DE 2015.</t>
        </is>
      </c>
      <c r="J1409">
        <f>HYPERLINK("https://g1.globo.com/mundo/noticia/2019/08/05/colombia-vai-conceder-cidadania-a-filhos-de-imigrantes-da-venezuela.ghtml", "URL")</f>
        <v/>
      </c>
      <c r="K1409">
        <f>HYPERLINK("https://raw.githubusercontent.com/marcosmapl/dataset_imigrantes/main/noticias_filtered/g1/venezuelanos/2019/07_ago/html/g1_0560882a-2317-11ed-b24f-6dbe51e79fca_3183.html", "HTML")</f>
        <v/>
      </c>
      <c r="L1409">
        <f>HYPERLINK("https://raw.githubusercontent.com/marcosmapl/dataset_imigrantes/main/noticias_filtered/g1/venezuelanos/2019/07_ago/txt/g1_0560882a-2317-11ed-b24f-6dbe51e79fca_3183.txt", "TXT")</f>
        <v/>
      </c>
    </row>
    <row r="1410">
      <c r="A1410" s="1" t="n">
        <v>1408</v>
      </c>
      <c r="B1410" t="n">
        <v>2019</v>
      </c>
      <c r="C1410" s="2" t="n">
        <v>43682.81790003472</v>
      </c>
      <c r="D1410" t="inlineStr">
        <is>
          <t>G1</t>
        </is>
      </c>
      <c r="E1410" t="inlineStr">
        <is>
          <t>VENEZUELANOS</t>
        </is>
      </c>
      <c r="F1410" t="inlineStr">
        <is>
          <t>RORAIMA</t>
        </is>
      </c>
      <c r="G1410" t="inlineStr">
        <is>
          <t>EMILY COSTA, G1 RR — BOA VISTA</t>
        </is>
      </c>
      <c r="H1410" t="inlineStr">
        <is>
          <t>POLÍCIA INVESTIGA BANDO SUSPEITO DE TRAFICAR CRIANÇAS VENEZUELANAS EM RR</t>
        </is>
      </c>
      <c r="I1410" t="inlineStr">
        <is>
          <t>BRASILEIRO FOI PRESO EM JUNHO APÓS TENTAR SEQUESTRAR MENINA EM RODOVIÁRIA; ELE TAMBÉM FOI DENUNCIADO POR TENTAR LEVAR GAROTO EM MAIO. POLÍCIA FALOU A RESPEITO DE CASO APÓS G1 CONTAR RELATOS DE VENEZUELANAS QUE RECEBERAM PROPOSTAS PARA VENDER FILHOS.</t>
        </is>
      </c>
      <c r="J1410">
        <f>HYPERLINK("https://g1.globo.com/rr/roraima/noticia/2019/08/05/policia-investiga-bando-suspeito-de-traficar-criancas-venezuelanas-em-rr.ghtml", "URL")</f>
        <v/>
      </c>
      <c r="K1410">
        <f>HYPERLINK("https://raw.githubusercontent.com/marcosmapl/dataset_imigrantes/main/noticias_filtered/g1/venezuelanos/2019/07_ago/html/g1_5ccf18ba-2308-11ed-b24f-6dbe51e79fca_2381.html", "HTML")</f>
        <v/>
      </c>
      <c r="L1410">
        <f>HYPERLINK("https://raw.githubusercontent.com/marcosmapl/dataset_imigrantes/main/noticias_filtered/g1/venezuelanos/2019/07_ago/txt/g1_5ccf18ba-2308-11ed-b24f-6dbe51e79fca_2381.txt", "TXT")</f>
        <v/>
      </c>
    </row>
    <row r="1411">
      <c r="A1411" s="1" t="n">
        <v>1409</v>
      </c>
      <c r="B1411" t="n">
        <v>2019</v>
      </c>
      <c r="C1411" s="2" t="n">
        <v>43681.84160755787</v>
      </c>
      <c r="D1411" t="inlineStr">
        <is>
          <t>G1</t>
        </is>
      </c>
      <c r="E1411" t="inlineStr">
        <is>
          <t>VENEZUELANOS</t>
        </is>
      </c>
      <c r="F1411" t="inlineStr">
        <is>
          <t>RORAIMA</t>
        </is>
      </c>
      <c r="G1411" t="inlineStr">
        <is>
          <t>G1 RR — BOA VISTA</t>
        </is>
      </c>
      <c r="H1411" t="inlineStr">
        <is>
          <t>VOCÊ VIU? VENEZUELANAS EM RR SÃO ASSEDIADAS PARA VENDER BEBÊS, PRESO APÓS FOTO COM SELFIE, CONCURSO DA PREFEITURA E MAIS</t>
        </is>
      </c>
      <c r="I1411" t="inlineStr">
        <is>
          <t>VEJA NOTÍCIAS MAIS LIDAS NO G1 RORAIMA ENTRE 28 DE JULHO E 3 DE AGOSTO.</t>
        </is>
      </c>
      <c r="J1411">
        <f>HYPERLINK("https://g1.globo.com/rr/roraima/noticia/2019/08/04/voce-viu-venezuelanas-em-rr-sao-assediadas-para-vender-bebes-concurso-da-prefeitura-e-mais.ghtml", "URL")</f>
        <v/>
      </c>
      <c r="K1411">
        <f>HYPERLINK("https://raw.githubusercontent.com/marcosmapl/dataset_imigrantes/main/noticias_filtered/g1/venezuelanos/2019/07_ago/html/g1_72ac6fa0-2323-11ed-b24f-6dbe51e79fca_3808.html", "HTML")</f>
        <v/>
      </c>
      <c r="L1411">
        <f>HYPERLINK("https://raw.githubusercontent.com/marcosmapl/dataset_imigrantes/main/noticias_filtered/g1/venezuelanos/2019/07_ago/txt/g1_72ac6fa0-2323-11ed-b24f-6dbe51e79fca_3808.txt", "TXT")</f>
        <v/>
      </c>
    </row>
    <row r="1412">
      <c r="A1412" s="1" t="n">
        <v>1410</v>
      </c>
      <c r="B1412" t="n">
        <v>2019</v>
      </c>
      <c r="C1412" s="2" t="n">
        <v>43681.65469907408</v>
      </c>
      <c r="D1412" t="inlineStr">
        <is>
          <t>A CRITICA</t>
        </is>
      </c>
      <c r="E1412" t="inlineStr">
        <is>
          <t>VENEZUELANOS</t>
        </is>
      </c>
      <c r="F1412" t="inlineStr">
        <is>
          <t>POLICIA</t>
        </is>
      </c>
      <c r="G1412" t="inlineStr">
        <is>
          <t>JOHNY VASCONCELOS</t>
        </is>
      </c>
      <c r="H1412" t="inlineStr">
        <is>
          <t>ADOLESCENTE VENEZUELANO É MORTO VÍTIMA DE ARMA DE FOGO NO SÃO LÁZARO</t>
        </is>
      </c>
      <c r="I1412" t="inlineStr">
        <is>
          <t>SEGUNDO A POLÍCIA, CERCA DE QUATRO PESSOAS QUE ESTAVAM EM DOIS VEÍCULOS SE APROXIMARAM DO VENEZUELANO E FIZERAM VÁRIOS DISPAROS. UMA ADOLESCENTE E UM HOMEM DE 58 ANOS TAMBÉM FICARAM FERIDOS</t>
        </is>
      </c>
      <c r="J1412">
        <f>HYPERLINK("https://www.acritica.com/policia/adolescente-venezuelano-e-morto-vitima-de-arma-de-fogo-no-s-o-lazaro-1.62216", "URL")</f>
        <v/>
      </c>
      <c r="K1412">
        <f>HYPERLINK("https://raw.githubusercontent.com/marcosmapl/dataset_imigrantes/main/noticias_filtered/a_critica/venezuelanos/2019/07_ago/html/1.62216_1007.html", "HTML")</f>
        <v/>
      </c>
      <c r="L1412">
        <f>HYPERLINK("https://raw.githubusercontent.com/marcosmapl/dataset_imigrantes/main/noticias_filtered/a_critica/venezuelanos/2019/07_ago/txt/1.62216_1007.txt", "TXT")</f>
        <v/>
      </c>
    </row>
    <row r="1413">
      <c r="A1413" s="1" t="n">
        <v>1411</v>
      </c>
      <c r="B1413" t="n">
        <v>2019</v>
      </c>
      <c r="C1413" s="2" t="n">
        <v>43680.75347222222</v>
      </c>
      <c r="D1413" t="inlineStr">
        <is>
          <t>A CRITICA</t>
        </is>
      </c>
      <c r="E1413" t="inlineStr">
        <is>
          <t>VENEZUELANOS</t>
        </is>
      </c>
      <c r="F1413" t="inlineStr"/>
      <c r="G1413" t="inlineStr">
        <is>
          <t>AFP</t>
        </is>
      </c>
      <c r="H1413" t="inlineStr">
        <is>
          <t>PRESIDENTE DE CUBA CRITICA 'SUBMISSÃO' DE BOLSONARO AOS ESTADOS UNIDOS</t>
        </is>
      </c>
      <c r="I1413" t="inlineStr">
        <is>
          <t>O GOVERNANTE CUBANO UTILIZOU O TWITTER PARA DIZER QUE O PRESIDENTE BOLSONARO TINHA 'VOLTADO A MENTIR E QUE É VERGONHOSA A SUA SUBMISSÃO AOS EUA'</t>
        </is>
      </c>
      <c r="J1413">
        <f>HYPERLINK("https://www.acritica.com/presidente-de-cuba-critica-submiss-o-de-bolsonaro-aos-estados-unidos-1.62259", "URL")</f>
        <v/>
      </c>
      <c r="K1413">
        <f>HYPERLINK("https://raw.githubusercontent.com/marcosmapl/dataset_imigrantes/main/noticias_filtered/a_critica/venezuelanos/2019/07_ago/html/1.62259_650.html", "HTML")</f>
        <v/>
      </c>
      <c r="L1413">
        <f>HYPERLINK("https://raw.githubusercontent.com/marcosmapl/dataset_imigrantes/main/noticias_filtered/a_critica/venezuelanos/2019/07_ago/txt/1.62259_650.txt", "TXT")</f>
        <v/>
      </c>
    </row>
    <row r="1414">
      <c r="A1414" s="1" t="n">
        <v>1412</v>
      </c>
      <c r="B1414" t="n">
        <v>2019</v>
      </c>
      <c r="C1414" s="2" t="n">
        <v>43680.56878506944</v>
      </c>
      <c r="D1414" t="inlineStr">
        <is>
          <t>G1</t>
        </is>
      </c>
      <c r="E1414" t="inlineStr">
        <is>
          <t>AMBOS</t>
        </is>
      </c>
      <c r="F1414" t="inlineStr">
        <is>
          <t>RONDÔNIA</t>
        </is>
      </c>
      <c r="G1414" t="inlineStr">
        <is>
          <t>PEDRO BENTES E MAYARA SUBTIL, G1 RO</t>
        </is>
      </c>
      <c r="H1414" t="inlineStr">
        <is>
          <t>IMIGRANTES EM RO: VENEZUELANOS LUTAM CONTRA O DESEMPREGO EM PORTO VELHO</t>
        </is>
      </c>
      <c r="I1414" t="inlineStr">
        <is>
          <t>SEGUNDO A CÁRITAS, APENAS 35 VENEZUELANOS ASSISTIDOS CONSEGUIRAM TRABALHO SEM CARTEIRA ASSINADA NA CIDADE. HAITIANOS OCUPAM 29 VAGAS EM EMPRESA DE COLETA DE LIXO NA CAPITAL.</t>
        </is>
      </c>
      <c r="J1414">
        <f>HYPERLINK("https://g1.globo.com/ro/rondonia/noticia/2019/08/03/imigrantes-em-ro-venezuelanos-lutam-contra-o-desemprego-em-porto-velho.ghtml", "URL")</f>
        <v/>
      </c>
      <c r="K1414">
        <f>HYPERLINK("https://raw.githubusercontent.com/marcosmapl/dataset_imigrantes/main/noticias_filtered/g1/ambos/2019/07_ago/html/g1_7abd5dd4-231f-11ed-b24f-6dbe51e79fca_3625.html", "HTML")</f>
        <v/>
      </c>
      <c r="L1414">
        <f>HYPERLINK("https://raw.githubusercontent.com/marcosmapl/dataset_imigrantes/main/noticias_filtered/g1/ambos/2019/07_ago/txt/g1_7abd5dd4-231f-11ed-b24f-6dbe51e79fca_3625.txt", "TXT")</f>
        <v/>
      </c>
    </row>
    <row r="1415">
      <c r="A1415" s="1" t="n">
        <v>1413</v>
      </c>
      <c r="B1415" t="n">
        <v>2019</v>
      </c>
      <c r="C1415" s="2" t="n">
        <v>43679.6</v>
      </c>
      <c r="D1415" t="inlineStr">
        <is>
          <t>A CRITICA</t>
        </is>
      </c>
      <c r="E1415" t="inlineStr">
        <is>
          <t>VENEZUELANOS</t>
        </is>
      </c>
      <c r="F1415" t="inlineStr">
        <is>
          <t>ESPORTES</t>
        </is>
      </c>
      <c r="G1415" t="inlineStr">
        <is>
          <t>PORTAL A CRÍTICA</t>
        </is>
      </c>
      <c r="H1415" t="inlineStr">
        <is>
          <t>COPA SOLIDÁRIA INICIA NESTE DOMINGO COM PRÉ-TORNEIO NA ARENA AMADEU TEIXEIRA</t>
        </is>
      </c>
      <c r="I1415" t="inlineStr">
        <is>
          <t>CAMPEONATO TEM A FINALIDADE DE ARRECADAR MANTIMENTOS PARA 14 INSTITUIÇÕES DE CARIDADE DE MANAUS</t>
        </is>
      </c>
      <c r="J1415">
        <f>HYPERLINK("https://www.acritica.com/esportes/copa-solidaria-inicia-neste-domingo-com-pre-torneio-na-arena-amadeu-teixeira-1.63224", "URL")</f>
        <v/>
      </c>
      <c r="K1415">
        <f>HYPERLINK("https://raw.githubusercontent.com/marcosmapl/dataset_imigrantes/main/noticias_filtered/a_critica/venezuelanos/2019/07_ago/html/1.63224_1012.html", "HTML")</f>
        <v/>
      </c>
      <c r="L1415">
        <f>HYPERLINK("https://raw.githubusercontent.com/marcosmapl/dataset_imigrantes/main/noticias_filtered/a_critica/venezuelanos/2019/07_ago/txt/1.63224_1012.txt", "TXT")</f>
        <v/>
      </c>
    </row>
    <row r="1416">
      <c r="A1416" s="1" t="n">
        <v>1414</v>
      </c>
      <c r="B1416" t="n">
        <v>2019</v>
      </c>
      <c r="C1416" s="2" t="n">
        <v>43679.4583743287</v>
      </c>
      <c r="D1416" t="inlineStr">
        <is>
          <t>G1</t>
        </is>
      </c>
      <c r="E1416" t="inlineStr">
        <is>
          <t>VENEZUELANOS</t>
        </is>
      </c>
      <c r="F1416" t="inlineStr">
        <is>
          <t>RONDÔNIA</t>
        </is>
      </c>
      <c r="G1416" t="inlineStr">
        <is>
          <t>MAYARA SUBTIL, G1 RO</t>
        </is>
      </c>
      <c r="H1416" t="inlineStr">
        <is>
          <t>IMIGRANTES EM RO: AS HISTÓRIAS DE VENEZUELANOS QUE TRANSFORMARAM A CRISE EM RECOMEÇO</t>
        </is>
      </c>
      <c r="I1416" t="inlineStr">
        <is>
          <t>G1 CONVERSOU COM 4 PESSOAS QUE, AO CONTRÁRIO DE ESTAREM NO ESTADO 'DE PASSAGEM', FAZEM O POSSÍVEL PARA RECONSTRUIR SUAS VIDAS EM TERRITÓRIO RONDONIENSE.</t>
        </is>
      </c>
      <c r="J1416">
        <f>HYPERLINK("https://g1.globo.com/ro/rondonia/noticia/2019/08/02/imigrantes-em-ro-a-historia-de-venezuelanos-que-transformaram-a-crise-em-recomeco.ghtml", "URL")</f>
        <v/>
      </c>
      <c r="K1416">
        <f>HYPERLINK("https://raw.githubusercontent.com/marcosmapl/dataset_imigrantes/main/noticias_filtered/g1/venezuelanos/2019/07_ago/html/g1_424739d0-2323-11ed-b24f-6dbe51e79fca_3795.html", "HTML")</f>
        <v/>
      </c>
      <c r="L1416">
        <f>HYPERLINK("https://raw.githubusercontent.com/marcosmapl/dataset_imigrantes/main/noticias_filtered/g1/venezuelanos/2019/07_ago/txt/g1_424739d0-2323-11ed-b24f-6dbe51e79fca_3795.txt", "TXT")</f>
        <v/>
      </c>
    </row>
    <row r="1417">
      <c r="A1417" s="1" t="n">
        <v>1415</v>
      </c>
      <c r="B1417" t="n">
        <v>2019</v>
      </c>
      <c r="C1417" s="2" t="n">
        <v>43678.63381944445</v>
      </c>
      <c r="D1417" t="inlineStr">
        <is>
          <t>A CRITICA</t>
        </is>
      </c>
      <c r="E1417" t="inlineStr">
        <is>
          <t>VENEZUELANOS</t>
        </is>
      </c>
      <c r="F1417" t="inlineStr"/>
      <c r="G1417" t="inlineStr">
        <is>
          <t>AGÊNCIA BRASIL</t>
        </is>
      </c>
      <c r="H1417" t="inlineStr">
        <is>
          <t>EUA TÊM PLANO PARA CRESCIMENTO ECONÔMICO DA VENEZUELA, DIZ SECRETÁRIO</t>
        </is>
      </c>
      <c r="I1417" t="inlineStr">
        <is>
          <t>A DECLARAÇÃO FOI FEITA A UMA PLATEIA DE EMPRESÁRIOS REUNIDOS EM BRASÍLIA, NO FÓRUM ANUAL DE LIDERANÇA EM INFRAESTRUTURA DA AMÉRICA LATINA</t>
        </is>
      </c>
      <c r="J1417">
        <f>HYPERLINK("https://www.acritica.com/eua-tem-plano-para-crescimento-economico-da-venezuela-diz-secretario-1.62347", "URL")</f>
        <v/>
      </c>
      <c r="K1417">
        <f>HYPERLINK("https://raw.githubusercontent.com/marcosmapl/dataset_imigrantes/main/noticias_filtered/a_critica/venezuelanos/2019/07_ago/html/1.62347_528.html", "HTML")</f>
        <v/>
      </c>
      <c r="L1417">
        <f>HYPERLINK("https://raw.githubusercontent.com/marcosmapl/dataset_imigrantes/main/noticias_filtered/a_critica/venezuelanos/2019/07_ago/txt/1.62347_528.txt", "TXT")</f>
        <v/>
      </c>
    </row>
    <row r="1418">
      <c r="A1418" s="1" t="n">
        <v>1416</v>
      </c>
      <c r="B1418" t="n">
        <v>2019</v>
      </c>
      <c r="C1418" s="2" t="n">
        <v>43678.40747534722</v>
      </c>
      <c r="D1418" t="inlineStr">
        <is>
          <t>G1</t>
        </is>
      </c>
      <c r="E1418" t="inlineStr">
        <is>
          <t>VENEZUELANOS</t>
        </is>
      </c>
      <c r="F1418" t="inlineStr">
        <is>
          <t>MUNDO</t>
        </is>
      </c>
      <c r="G1418" t="inlineStr">
        <is>
          <t>FRANCE PRESSE</t>
        </is>
      </c>
      <c r="H1418" t="inlineStr">
        <is>
          <t>SERVIÇO DE IMIGRAÇÃO DOS EUA INCLUI MINISTRO VENEZUELANO NA LISTA DE MAIS PROCURADOS</t>
        </is>
      </c>
      <c r="I1418" t="inlineStr">
        <is>
          <t>SE FOR PRESO E EXTRADITADO, TARECK EL AISSAMI PODE SER CONDENADO A ATÉ 30 ANOS DE PRISÃO.</t>
        </is>
      </c>
      <c r="J1418">
        <f>HYPERLINK("https://g1.globo.com/mundo/noticia/2019/08/01/servico-de-imigracao-dos-eua-inclui-ministro-venezuelano-na-lista-de-mais-procurados.ghtml", "URL")</f>
        <v/>
      </c>
      <c r="K1418">
        <f>HYPERLINK("https://raw.githubusercontent.com/marcosmapl/dataset_imigrantes/main/noticias_filtered/g1/venezuelanos/2019/07_ago/html/g1_371f7936-2310-11ed-b24f-6dbe51e79fca_2846.html", "HTML")</f>
        <v/>
      </c>
      <c r="L1418">
        <f>HYPERLINK("https://raw.githubusercontent.com/marcosmapl/dataset_imigrantes/main/noticias_filtered/g1/venezuelanos/2019/07_ago/txt/g1_371f7936-2310-11ed-b24f-6dbe51e79fca_2846.txt", "TXT")</f>
        <v/>
      </c>
    </row>
    <row r="1419">
      <c r="A1419" s="1" t="n">
        <v>1417</v>
      </c>
      <c r="B1419" t="n">
        <v>2019</v>
      </c>
      <c r="C1419" s="2" t="n">
        <v>43678.37518355324</v>
      </c>
      <c r="D1419" t="inlineStr">
        <is>
          <t>G1</t>
        </is>
      </c>
      <c r="E1419" t="inlineStr">
        <is>
          <t>VENEZUELANOS</t>
        </is>
      </c>
      <c r="F1419" t="inlineStr">
        <is>
          <t>RORAIMA</t>
        </is>
      </c>
      <c r="G1419" t="inlineStr">
        <is>
          <t>EMILY COSTA, G1 RR — BOA VISTA</t>
        </is>
      </c>
      <c r="H1419" t="inlineStr">
        <is>
          <t>MÃES VENEZUELANAS DENUNCIAM ASSÉDIO PARA VENDER BEBÊS EM RORAIMA</t>
        </is>
      </c>
      <c r="I1419" t="inlineStr">
        <is>
          <t>EM 2 MESES, G1 OUVIU RELATOS DE 3 MULHERES; SEGUNDO ELAS, OFERTAS VARIAM ENTRE R$ 200 E R$ 6 MIL. MPF E MPRR RECEBERAM DENÚNCIAS, E PF INVESTIGA; EM 2018, HOMEM DE BANGLADESH E BRASILEIRA FORAM PRESOS AO TENTAR REGISTRAR RECÉM-NASCIDA APÓS OFERECER R$ 2 MIL.</t>
        </is>
      </c>
      <c r="J1419">
        <f>HYPERLINK("https://g1.globo.com/rr/roraima/noticia/2019/08/01/maes-venezuelanas-denunciam-assedio-para-vender-bebes-em-roraima.ghtml", "URL")</f>
        <v/>
      </c>
      <c r="K1419">
        <f>HYPERLINK("https://raw.githubusercontent.com/marcosmapl/dataset_imigrantes/main/noticias_filtered/g1/venezuelanos/2019/07_ago/html/g1_0c69dfce-2324-11ed-b24f-6dbe51e79fca_3845.html", "HTML")</f>
        <v/>
      </c>
      <c r="L1419">
        <f>HYPERLINK("https://raw.githubusercontent.com/marcosmapl/dataset_imigrantes/main/noticias_filtered/g1/venezuelanos/2019/07_ago/txt/g1_0c69dfce-2324-11ed-b24f-6dbe51e79fca_3845.txt", "TXT")</f>
        <v/>
      </c>
    </row>
    <row r="1420">
      <c r="A1420" s="1" t="n">
        <v>1418</v>
      </c>
      <c r="B1420" t="n">
        <v>2019</v>
      </c>
      <c r="C1420" s="2" t="n">
        <v>43677.43914351852</v>
      </c>
      <c r="D1420" t="inlineStr">
        <is>
          <t>A CRITICA</t>
        </is>
      </c>
      <c r="E1420" t="inlineStr">
        <is>
          <t>VENEZUELANOS</t>
        </is>
      </c>
      <c r="F1420" t="inlineStr">
        <is>
          <t>OPINIAO</t>
        </is>
      </c>
      <c r="G1420" t="inlineStr"/>
      <c r="H1420" t="inlineStr">
        <is>
          <t>O DRAMA DO TRÁFICO DE PESSOAS</t>
        </is>
      </c>
      <c r="I1420" t="inlineStr"/>
      <c r="J1420">
        <f>HYPERLINK("https://www.acritica.com/opiniao/o-drama-do-trafico-de-pessoas-1.227068", "URL")</f>
        <v/>
      </c>
      <c r="K1420">
        <f>HYPERLINK("https://raw.githubusercontent.com/marcosmapl/dataset_imigrantes/main/noticias_filtered/a_critica/venezuelanos/2019/06_jul/html/1.227068_488.html", "HTML")</f>
        <v/>
      </c>
      <c r="L1420">
        <f>HYPERLINK("https://raw.githubusercontent.com/marcosmapl/dataset_imigrantes/main/noticias_filtered/a_critica/venezuelanos/2019/06_jul/txt/1.227068_488.txt", "TXT")</f>
        <v/>
      </c>
    </row>
    <row r="1421">
      <c r="A1421" s="1" t="n">
        <v>1419</v>
      </c>
      <c r="B1421" t="n">
        <v>2019</v>
      </c>
      <c r="C1421" s="2" t="n">
        <v>43677.04662366898</v>
      </c>
      <c r="D1421" t="inlineStr">
        <is>
          <t>G1</t>
        </is>
      </c>
      <c r="E1421" t="inlineStr">
        <is>
          <t>HAITIANOS</t>
        </is>
      </c>
      <c r="F1421" t="inlineStr">
        <is>
          <t>AMAZONAS</t>
        </is>
      </c>
      <c r="G1421" t="inlineStr">
        <is>
          <t>G1 AM</t>
        </is>
      </c>
      <c r="H1421" t="inlineStr">
        <is>
          <t>'ESTOU COM MEDO DE VOLTAR A TRABALHAR', DIZ SORVETEIRO HAITIANO ESPANCADO POR HOMEM INCOMODADO COM BUZINA DE CARRINHO, EM MANAUS</t>
        </is>
      </c>
      <c r="I1421" t="inlineStr">
        <is>
          <t>SUSPEITO PRESTOU DEPOIMENTO NO INÍCIO DA TARDE DE SEGUNDA-FEIRA (29) E FOI LIBERADO PARA RESPONDER PELO CRIME DE LESÃO CORPORAL EM LIBERDADE.</t>
        </is>
      </c>
      <c r="J1421">
        <f>HYPERLINK("https://g1.globo.com/am/amazonas/noticia/2019/07/30/haitiano-agredido-por-homem-passa-por-exame-de-corpo-de-delito-em-manaus.ghtml", "URL")</f>
        <v/>
      </c>
      <c r="K1421">
        <f>HYPERLINK("https://raw.githubusercontent.com/marcosmapl/dataset_imigrantes/main/noticias_filtered/g1/haitianos/2019/06_jul/html/g1_8c778a60-22f5-11ed-b24f-6dbe51e79fca_1957.html", "HTML")</f>
        <v/>
      </c>
      <c r="L1421">
        <f>HYPERLINK("https://raw.githubusercontent.com/marcosmapl/dataset_imigrantes/main/noticias_filtered/g1/haitianos/2019/06_jul/txt/g1_8c778a60-22f5-11ed-b24f-6dbe51e79fca_1957.txt", "TXT")</f>
        <v/>
      </c>
    </row>
    <row r="1422">
      <c r="A1422" s="1" t="n">
        <v>1420</v>
      </c>
      <c r="B1422" t="n">
        <v>2019</v>
      </c>
      <c r="C1422" s="2" t="n">
        <v>43676.55426328703</v>
      </c>
      <c r="D1422" t="inlineStr">
        <is>
          <t>G1</t>
        </is>
      </c>
      <c r="E1422" t="inlineStr">
        <is>
          <t>VENEZUELANOS</t>
        </is>
      </c>
      <c r="F1422" t="inlineStr">
        <is>
          <t>RORAIMA</t>
        </is>
      </c>
      <c r="G1422" t="inlineStr">
        <is>
          <t>EMILY COSTA, G1 RR — BOA VISTA</t>
        </is>
      </c>
      <c r="H1422" t="inlineStr">
        <is>
          <t>JUSTIÇA MANDA SOLTAR VENEZUELANO PRESO POR ASSASSINATO COMETIDO POR BRASILEIRO EM RR</t>
        </is>
      </c>
      <c r="I1422" t="inlineStr">
        <is>
          <t>YORBIN MOISES PONCE DIAS, 31, FICOU 45 DIAS NA PENITENCIÁRIA AGRÍCOLA DE MONTE CRISTO. BRASILEIRO QUE MATOU EMPRESÁRIO FOI SOLTO NO ÚLTIMO DIA 17.</t>
        </is>
      </c>
      <c r="J1422">
        <f>HYPERLINK("https://g1.globo.com/rr/roraima/noticia/2019/07/30/justica-manda-soltar-venezuelano-preso-por-assassinato-cometido-por-brasileiro-em-rr.ghtml", "URL")</f>
        <v/>
      </c>
      <c r="K1422">
        <f>HYPERLINK("https://raw.githubusercontent.com/marcosmapl/dataset_imigrantes/main/noticias_filtered/g1/venezuelanos/2019/06_jul/html/g1_1de3416a-230f-11ed-b24f-6dbe51e79fca_2779.html", "HTML")</f>
        <v/>
      </c>
      <c r="L1422">
        <f>HYPERLINK("https://raw.githubusercontent.com/marcosmapl/dataset_imigrantes/main/noticias_filtered/g1/venezuelanos/2019/06_jul/txt/g1_1de3416a-230f-11ed-b24f-6dbe51e79fca_2779.txt", "TXT")</f>
        <v/>
      </c>
    </row>
    <row r="1423">
      <c r="A1423" s="1" t="n">
        <v>1421</v>
      </c>
      <c r="B1423" t="n">
        <v>2019</v>
      </c>
      <c r="C1423" s="2" t="n">
        <v>43676.55138888889</v>
      </c>
      <c r="D1423" t="inlineStr">
        <is>
          <t>A CRITICA</t>
        </is>
      </c>
      <c r="E1423" t="inlineStr">
        <is>
          <t>VENEZUELANOS</t>
        </is>
      </c>
      <c r="F1423" t="inlineStr">
        <is>
          <t>ESPORTES</t>
        </is>
      </c>
      <c r="G1423" t="inlineStr">
        <is>
          <t>AGÊNCIA BRASIL</t>
        </is>
      </c>
      <c r="H1423" t="inlineStr">
        <is>
          <t>EM DIA DE MUITAS MEDALHAS NO PAN, TAEKWONDO BRASILEIRO FAZ HISTÓRIA</t>
        </is>
      </c>
      <c r="I1423" t="inlineStr">
        <is>
          <t>ATÉ AGORA, O BRASIL CONQUISTOU 25 MEDALHAS EM LIMA; 7 SÃO DO TAEKWONDO</t>
        </is>
      </c>
      <c r="J1423">
        <f>HYPERLINK("https://www.acritica.com/esportes/em-dia-de-muitas-medalhas-no-pan-taekwondo-brasileiro-faz-historia-1.62404", "URL")</f>
        <v/>
      </c>
      <c r="K1423">
        <f>HYPERLINK("https://raw.githubusercontent.com/marcosmapl/dataset_imigrantes/main/noticias_filtered/a_critica/venezuelanos/2019/06_jul/html/1.62404_823.html", "HTML")</f>
        <v/>
      </c>
      <c r="L1423">
        <f>HYPERLINK("https://raw.githubusercontent.com/marcosmapl/dataset_imigrantes/main/noticias_filtered/a_critica/venezuelanos/2019/06_jul/txt/1.62404_823.txt", "TXT")</f>
        <v/>
      </c>
    </row>
    <row r="1424">
      <c r="A1424" s="1" t="n">
        <v>1422</v>
      </c>
      <c r="B1424" t="n">
        <v>2019</v>
      </c>
      <c r="C1424" s="2" t="n">
        <v>43675.66861026621</v>
      </c>
      <c r="D1424" t="inlineStr">
        <is>
          <t>G1</t>
        </is>
      </c>
      <c r="E1424" t="inlineStr">
        <is>
          <t>HAITIANOS</t>
        </is>
      </c>
      <c r="F1424" t="inlineStr">
        <is>
          <t>AMAZONAS</t>
        </is>
      </c>
      <c r="G1424" t="inlineStr">
        <is>
          <t>ISABELLA PINA, G1 AM</t>
        </is>
      </c>
      <c r="H1424" t="inlineStr">
        <is>
          <t>SORVETEIRO HAITIANO É ESPANCADO POR HOMEM INCOMODADO COM BUZINA DE CARRINHO; VÍDEO MOSTRA FUGA</t>
        </is>
      </c>
      <c r="I1424" t="inlineStr">
        <is>
          <t>CASO ACONTECEU NA ZONA SUL DE MANAUS. AGRESSOR FOI DETIDO E PRESTA ESCLARECIMENTOS À POLÍCIA.</t>
        </is>
      </c>
      <c r="J1424">
        <f>HYPERLINK("https://g1.globo.com/am/amazonas/noticia/2019/07/29/sorveteiro-haitiano-e-internado-apos-ser-espancado-por-homem-incomodado-com-buzina-de-carrinho-video-mostra-fuga.ghtml", "URL")</f>
        <v/>
      </c>
      <c r="K1424">
        <f>HYPERLINK("https://raw.githubusercontent.com/marcosmapl/dataset_imigrantes/main/noticias_filtered/g1/haitianos/2019/06_jul/html/g1_f2433514-22f6-11ed-b24f-6dbe51e79fca_2049.html", "HTML")</f>
        <v/>
      </c>
      <c r="L1424">
        <f>HYPERLINK("https://raw.githubusercontent.com/marcosmapl/dataset_imigrantes/main/noticias_filtered/g1/haitianos/2019/06_jul/txt/g1_f2433514-22f6-11ed-b24f-6dbe51e79fca_2049.txt", "TXT")</f>
        <v/>
      </c>
    </row>
    <row r="1425">
      <c r="A1425" s="1" t="n">
        <v>1423</v>
      </c>
      <c r="B1425" t="n">
        <v>2019</v>
      </c>
      <c r="C1425" s="2" t="n">
        <v>43674.87793981482</v>
      </c>
      <c r="D1425" t="inlineStr">
        <is>
          <t>A CRITICA</t>
        </is>
      </c>
      <c r="E1425" t="inlineStr">
        <is>
          <t>VENEZUELANOS</t>
        </is>
      </c>
      <c r="F1425" t="inlineStr"/>
      <c r="G1425" t="inlineStr">
        <is>
          <t>REUTERS</t>
        </is>
      </c>
      <c r="H1425" t="inlineStr">
        <is>
          <t>É 'PROVÁVEL' QUE EUA ENTRE NA VENEZUELA, DIZ N° 2 DO PARTIDO GOVERNISTA VENEZUELANO</t>
        </is>
      </c>
      <c r="I1425" t="inlineStr">
        <is>
          <t>ESTADOS UNIDOS E A MAIORIA DAS DEMOCRACIAS OCIDENTAIS RECONHECEM GUAIDÓ COMO O LÍDER DE DIREITO DA VENEZUELA E NÃO MADURO</t>
        </is>
      </c>
      <c r="J1425">
        <f>HYPERLINK("https://www.acritica.com/e-provavel-que-eua-entre-na-venezuela-diz-n-2-do-partido-governista-venezuelano-1.63600", "URL")</f>
        <v/>
      </c>
      <c r="K1425">
        <f>HYPERLINK("https://raw.githubusercontent.com/marcosmapl/dataset_imigrantes/main/noticias_filtered/a_critica/venezuelanos/2019/06_jul/html/1.63600_1363.html", "HTML")</f>
        <v/>
      </c>
      <c r="L1425">
        <f>HYPERLINK("https://raw.githubusercontent.com/marcosmapl/dataset_imigrantes/main/noticias_filtered/a_critica/venezuelanos/2019/06_jul/txt/1.63600_1363.txt", "TXT")</f>
        <v/>
      </c>
    </row>
    <row r="1426">
      <c r="A1426" s="1" t="n">
        <v>1424</v>
      </c>
      <c r="B1426" t="n">
        <v>2019</v>
      </c>
      <c r="C1426" s="2" t="n">
        <v>43674.60814989583</v>
      </c>
      <c r="D1426" t="inlineStr">
        <is>
          <t>G1</t>
        </is>
      </c>
      <c r="E1426" t="inlineStr">
        <is>
          <t>VENEZUELANOS</t>
        </is>
      </c>
      <c r="F1426" t="inlineStr">
        <is>
          <t>POP &amp; ARTE</t>
        </is>
      </c>
      <c r="G1426" t="inlineStr">
        <is>
          <t>G1</t>
        </is>
      </c>
      <c r="H1426" t="inlineStr">
        <is>
          <t>MORRE O ARTISTA VENEZUELANO CARLOS CRUZ-DÍEZ AOS 95 ANOS, EM PARIS</t>
        </is>
      </c>
      <c r="I1426" t="inlineStr">
        <is>
          <t>ELE ERA CONSIDERADO O MAIOR ARTISTA CINÉTICO AINDA VIVO. O 'CINETISMO' FOI UM MOVIMENTO DAS ARTES PLÁSTICAS QUE NASCEU NA DÉCADA DE 1950, NA FRANÇA, ROMPENDO COM A TRADIÇÃO ESTÁTICA DAS OBRAS.</t>
        </is>
      </c>
      <c r="J1426">
        <f>HYPERLINK("https://g1.globo.com/pop-arte/noticia/2019/07/28/morre-o-artista-venezuelano-carlos-cruz-diez-aos-95-anos-em-paris.ghtml", "URL")</f>
        <v/>
      </c>
      <c r="K1426">
        <f>HYPERLINK("https://raw.githubusercontent.com/marcosmapl/dataset_imigrantes/main/noticias_filtered/g1/venezuelanos/2019/06_jul/html/g1_80cedb66-2307-11ed-b24f-6dbe51e79fca_2322.html", "HTML")</f>
        <v/>
      </c>
      <c r="L1426">
        <f>HYPERLINK("https://raw.githubusercontent.com/marcosmapl/dataset_imigrantes/main/noticias_filtered/g1/venezuelanos/2019/06_jul/txt/g1_80cedb66-2307-11ed-b24f-6dbe51e79fca_2322.txt", "TXT")</f>
        <v/>
      </c>
    </row>
    <row r="1427">
      <c r="A1427" s="1" t="n">
        <v>1425</v>
      </c>
      <c r="B1427" t="n">
        <v>2019</v>
      </c>
      <c r="C1427" s="2" t="n">
        <v>43672.52594907407</v>
      </c>
      <c r="D1427" t="inlineStr">
        <is>
          <t>A CRITICA</t>
        </is>
      </c>
      <c r="E1427" t="inlineStr">
        <is>
          <t>VENEZUELANOS</t>
        </is>
      </c>
      <c r="F1427" t="inlineStr">
        <is>
          <t>MANAUS</t>
        </is>
      </c>
      <c r="G1427" t="inlineStr">
        <is>
          <t>PORTAL A CRÍTICA</t>
        </is>
      </c>
      <c r="H1427" t="inlineStr">
        <is>
          <t>GOVERNO DO AM CEDE IMÓVEIS PARA OPERAÇÃO DE REORDENAÇÃO DE REFUGIADOS</t>
        </is>
      </c>
      <c r="I1427" t="inlineStr">
        <is>
          <t>A ASSINATURA DO TERMO DE AFETAÇÃO DOS ESPAÇOS OCORREU NESTA SEMANA PELAS REPRESENTANTES DA SEAD E SEJUSC. UM DOS IMÓVEIS É UM GALPÃO QUE FAZ PARTE DO COMPLEXO TERMINAL RODOVIÁRIO</t>
        </is>
      </c>
      <c r="J1427">
        <f>HYPERLINK("https://www.acritica.com/manaus/governo-do-am-cede-imoveis-para-operac-o-de-reordenac-o-de-refugiados-1.62434", "URL")</f>
        <v/>
      </c>
      <c r="K1427">
        <f>HYPERLINK("https://raw.githubusercontent.com/marcosmapl/dataset_imigrantes/main/noticias_filtered/a_critica/venezuelanos/2019/06_jul/html/1.62434_313.html", "HTML")</f>
        <v/>
      </c>
      <c r="L1427">
        <f>HYPERLINK("https://raw.githubusercontent.com/marcosmapl/dataset_imigrantes/main/noticias_filtered/a_critica/venezuelanos/2019/06_jul/txt/1.62434_313.txt", "TXT")</f>
        <v/>
      </c>
    </row>
    <row r="1428">
      <c r="A1428" s="1" t="n">
        <v>1426</v>
      </c>
      <c r="B1428" t="n">
        <v>2019</v>
      </c>
      <c r="C1428" s="2" t="n">
        <v>43672.41484570602</v>
      </c>
      <c r="D1428" t="inlineStr">
        <is>
          <t>G1</t>
        </is>
      </c>
      <c r="E1428" t="inlineStr">
        <is>
          <t>VENEZUELANOS</t>
        </is>
      </c>
      <c r="F1428" t="inlineStr">
        <is>
          <t>BAURU E MARÍLIA</t>
        </is>
      </c>
      <c r="G1428" t="inlineStr">
        <is>
          <t>G1 BAURU E MARÍLIA</t>
        </is>
      </c>
      <c r="H1428" t="inlineStr">
        <is>
          <t>PROJETO QUE ACOLHE VENEZUELANOS CHEGA AO CENTRO-OESTE PAULISTA</t>
        </is>
      </c>
      <c r="I1428" t="inlineStr">
        <is>
          <t>FAMÍLIA DA VENEZUELA MUDOU-SE PARA O INTERIOR PAULISTA COM O APOIO DO GOVERNO FEDERAL E DE UMA UNIVERSIDADE EM ASSIS (SP).</t>
        </is>
      </c>
      <c r="J1428">
        <f>HYPERLINK("https://g1.globo.com/sp/bauru-marilia/noticia/2019/07/26/projeto-que-acolhe-venezuelanos-chega-ao-centro-oeste-paulista.ghtml", "URL")</f>
        <v/>
      </c>
      <c r="K1428">
        <f>HYPERLINK("https://raw.githubusercontent.com/marcosmapl/dataset_imigrantes/main/noticias_filtered/g1/venezuelanos/2019/06_jul/html/g1_f705b0f0-230e-11ed-b24f-6dbe51e79fca_2769.html", "HTML")</f>
        <v/>
      </c>
      <c r="L1428">
        <f>HYPERLINK("https://raw.githubusercontent.com/marcosmapl/dataset_imigrantes/main/noticias_filtered/g1/venezuelanos/2019/06_jul/txt/g1_f705b0f0-230e-11ed-b24f-6dbe51e79fca_2769.txt", "TXT")</f>
        <v/>
      </c>
    </row>
    <row r="1429">
      <c r="A1429" s="1" t="n">
        <v>1427</v>
      </c>
      <c r="B1429" t="n">
        <v>2019</v>
      </c>
      <c r="C1429" s="2" t="n">
        <v>43671.57548254629</v>
      </c>
      <c r="D1429" t="inlineStr">
        <is>
          <t>G1</t>
        </is>
      </c>
      <c r="E1429" t="inlineStr">
        <is>
          <t>VENEZUELANOS</t>
        </is>
      </c>
      <c r="F1429" t="inlineStr">
        <is>
          <t>POLÍTICA</t>
        </is>
      </c>
      <c r="G1429" t="inlineStr">
        <is>
          <t>LUIZ FELIPE BARBIÉRI, G1 — BRASÍLIA</t>
        </is>
      </c>
      <c r="H1429" t="inlineStr">
        <is>
          <t>PEDIDOS DE REFÚGIO DE VENEZUELANOS AO BRASIL CRESCEM 245% EM UM ANO</t>
        </is>
      </c>
      <c r="I1429" t="inlineStr">
        <is>
          <t>SOLICITAÇÕES PASSARAM DE 17.685 EM 2017 PARA 61.681 EM 2018. DOS PEDIDOS DE REFÚGIO QUE TRAMITAM NO BRASIL, 52% SÃO DO PAÍS VIZINHO.</t>
        </is>
      </c>
      <c r="J1429">
        <f>HYPERLINK("https://g1.globo.com/politica/noticia/2019/07/25/pedidos-de-refugio-de-venezuelanos-ao-brasil-cresce-245percent-em-um-ano.ghtml", "URL")</f>
        <v/>
      </c>
      <c r="K1429">
        <f>HYPERLINK("https://raw.githubusercontent.com/marcosmapl/dataset_imigrantes/main/noticias_filtered/g1/venezuelanos/2019/06_jul/html/g1_764f6196-2321-11ed-b24f-6dbe51e79fca_3701.html", "HTML")</f>
        <v/>
      </c>
      <c r="L1429">
        <f>HYPERLINK("https://raw.githubusercontent.com/marcosmapl/dataset_imigrantes/main/noticias_filtered/g1/venezuelanos/2019/06_jul/txt/g1_764f6196-2321-11ed-b24f-6dbe51e79fca_3701.txt", "TXT")</f>
        <v/>
      </c>
    </row>
    <row r="1430">
      <c r="A1430" s="1" t="n">
        <v>1428</v>
      </c>
      <c r="B1430" t="n">
        <v>2019</v>
      </c>
      <c r="C1430" s="2" t="n">
        <v>43671.54767987269</v>
      </c>
      <c r="D1430" t="inlineStr">
        <is>
          <t>G1</t>
        </is>
      </c>
      <c r="E1430" t="inlineStr">
        <is>
          <t>VENEZUELANOS</t>
        </is>
      </c>
      <c r="F1430" t="inlineStr">
        <is>
          <t>MATO GROSSO</t>
        </is>
      </c>
      <c r="G1430" t="inlineStr">
        <is>
          <t>G1 MT</t>
        </is>
      </c>
      <c r="H1430" t="inlineStr">
        <is>
          <t>VENEZUELANO É PRESO EM MT SUSPEITO DE ESTUPRAR AS ENTEADAS DE 9 E 10 ANOS</t>
        </is>
      </c>
      <c r="I1430" t="inlineStr">
        <is>
          <t>ELE ERA INVESTIGADO NA CIDADE PELOS CRIMES DE ESTUPRO DE VULNERÁVEL PEDOFILIA CONTRA AS DUAS CRIANÇAS, QUE SÃO IRMÃS.</t>
        </is>
      </c>
      <c r="J1430">
        <f>HYPERLINK("https://g1.globo.com/mt/mato-grosso/noticia/2019/07/25/venezuelano-e-preso-em-mt-suspeito-de-estuprar-as-enteadas-de-9-e-10-anos.ghtml", "URL")</f>
        <v/>
      </c>
      <c r="K1430">
        <f>HYPERLINK("https://raw.githubusercontent.com/marcosmapl/dataset_imigrantes/main/noticias_filtered/g1/venezuelanos/2019/06_jul/html/g1_76a6b6a0-2329-11ed-b24f-6dbe51e79fca_4118.html", "HTML")</f>
        <v/>
      </c>
      <c r="L1430">
        <f>HYPERLINK("https://raw.githubusercontent.com/marcosmapl/dataset_imigrantes/main/noticias_filtered/g1/venezuelanos/2019/06_jul/txt/g1_76a6b6a0-2329-11ed-b24f-6dbe51e79fca_4118.txt", "TXT")</f>
        <v/>
      </c>
    </row>
    <row r="1431">
      <c r="A1431" s="1" t="n">
        <v>1429</v>
      </c>
      <c r="B1431" t="n">
        <v>2019</v>
      </c>
      <c r="C1431" s="2" t="n">
        <v>43670.54233480324</v>
      </c>
      <c r="D1431" t="inlineStr">
        <is>
          <t>G1</t>
        </is>
      </c>
      <c r="E1431" t="inlineStr">
        <is>
          <t>VENEZUELANOS</t>
        </is>
      </c>
      <c r="F1431" t="inlineStr">
        <is>
          <t>RORAIMA</t>
        </is>
      </c>
      <c r="G1431" t="inlineStr">
        <is>
          <t>G1 RR — BOA VISTA</t>
        </is>
      </c>
      <c r="H1431" t="inlineStr">
        <is>
          <t>MUTIRÃO OFERECE EMISSÃO DE CARTEIRAS DE TRABALHO A VENEZUELANOS EM RR</t>
        </is>
      </c>
      <c r="I1431" t="inlineStr">
        <is>
          <t>EMISSÕES COMEÇARAM NA SEGUNDA (22) E TERMINAM NESTA QUARTA (24).</t>
        </is>
      </c>
      <c r="J1431">
        <f>HYPERLINK("https://g1.globo.com/rr/roraima/noticia/2019/07/24/mutirao-oferece-emissao-de-carteiras-de-trabalho-a-venezuelanos-em-rr.ghtml", "URL")</f>
        <v/>
      </c>
      <c r="K1431">
        <f>HYPERLINK("https://raw.githubusercontent.com/marcosmapl/dataset_imigrantes/main/noticias_filtered/g1/venezuelanos/2019/06_jul/html/g1_4da23b38-2312-11ed-b24f-6dbe51e79fca_2960.html", "HTML")</f>
        <v/>
      </c>
      <c r="L1431">
        <f>HYPERLINK("https://raw.githubusercontent.com/marcosmapl/dataset_imigrantes/main/noticias_filtered/g1/venezuelanos/2019/06_jul/txt/g1_4da23b38-2312-11ed-b24f-6dbe51e79fca_2960.txt", "TXT")</f>
        <v/>
      </c>
    </row>
    <row r="1432">
      <c r="A1432" s="1" t="n">
        <v>1430</v>
      </c>
      <c r="B1432" t="n">
        <v>2019</v>
      </c>
      <c r="C1432" s="2" t="n">
        <v>43669.95243701389</v>
      </c>
      <c r="D1432" t="inlineStr">
        <is>
          <t>G1</t>
        </is>
      </c>
      <c r="E1432" t="inlineStr">
        <is>
          <t>VENEZUELANOS</t>
        </is>
      </c>
      <c r="F1432" t="inlineStr">
        <is>
          <t>CENTRO-OESTE</t>
        </is>
      </c>
      <c r="G1432" t="inlineStr">
        <is>
          <t>MG2</t>
        </is>
      </c>
      <c r="H1432" t="inlineStr">
        <is>
          <t>INSTITUIÇÃO EM ITAÚNA ACOLHE REFUGIADOS VENEZUELANOS</t>
        </is>
      </c>
      <c r="I1432" t="inlineStr">
        <is>
          <t>COMUNIDADE BOM PASTOR PRECISOU IMPROVISAR QUARTOS E DOAÇÕES, MAS PRECISA DE MAIS AJUDA PARA MANTER O LOCAL.</t>
        </is>
      </c>
      <c r="J1432">
        <f>HYPERLINK("https://g1.globo.com/mg/centro-oeste/noticia/2019/07/23/instituicao-em-itauna-acolhe-refugiados-venezuelanos.ghtml", "URL")</f>
        <v/>
      </c>
      <c r="K1432">
        <f>HYPERLINK("https://raw.githubusercontent.com/marcosmapl/dataset_imigrantes/main/noticias_filtered/g1/venezuelanos/2019/06_jul/html/g1_8e554ff8-2326-11ed-b24f-6dbe51e79fca_3984.html", "HTML")</f>
        <v/>
      </c>
      <c r="L1432">
        <f>HYPERLINK("https://raw.githubusercontent.com/marcosmapl/dataset_imigrantes/main/noticias_filtered/g1/venezuelanos/2019/06_jul/txt/g1_8e554ff8-2326-11ed-b24f-6dbe51e79fca_3984.txt", "TXT")</f>
        <v/>
      </c>
    </row>
    <row r="1433">
      <c r="A1433" s="1" t="n">
        <v>1431</v>
      </c>
      <c r="B1433" t="n">
        <v>2019</v>
      </c>
      <c r="C1433" s="2" t="n">
        <v>43669.61903935186</v>
      </c>
      <c r="D1433" t="inlineStr">
        <is>
          <t>A CRITICA</t>
        </is>
      </c>
      <c r="E1433" t="inlineStr">
        <is>
          <t>VENEZUELANOS</t>
        </is>
      </c>
      <c r="F1433" t="inlineStr"/>
      <c r="G1433" t="inlineStr">
        <is>
          <t>REUTERS</t>
        </is>
      </c>
      <c r="H1433" t="inlineStr">
        <is>
          <t>BRASIL E MÉXICO PUXAM A ECONOMIA NA AMÉRICA LATINA PARA BAIXO, DIZ FMI</t>
        </is>
      </c>
      <c r="I1433" t="inlineStr">
        <is>
          <t>COM O PIOR RESULTADO ECONÔMICO DOS ÚLTIMOS TRÊS ANOS, O BRASIL E O MÉXICO DESACELERAM A ECONOMIA NA AMÉRICA LATINA, CONFORME DADOS DO FUNDO MONETÁRIO INTERNACIONAL (FMI), PUBLICADOS HOJE (23)</t>
        </is>
      </c>
      <c r="J1433">
        <f>HYPERLINK("https://www.acritica.com/brasil-e-mexico-puxam-a-economia-na-america-latina-para-baixo-diz-fmi-1.63789", "URL")</f>
        <v/>
      </c>
      <c r="K1433">
        <f>HYPERLINK("https://raw.githubusercontent.com/marcosmapl/dataset_imigrantes/main/noticias_filtered/a_critica/venezuelanos/2019/06_jul/html/1.63789_637.html", "HTML")</f>
        <v/>
      </c>
      <c r="L1433">
        <f>HYPERLINK("https://raw.githubusercontent.com/marcosmapl/dataset_imigrantes/main/noticias_filtered/a_critica/venezuelanos/2019/06_jul/txt/1.63789_637.txt", "TXT")</f>
        <v/>
      </c>
    </row>
    <row r="1434">
      <c r="A1434" s="1" t="n">
        <v>1432</v>
      </c>
      <c r="B1434" t="n">
        <v>2019</v>
      </c>
      <c r="C1434" s="2" t="n">
        <v>43669.47438657407</v>
      </c>
      <c r="D1434" t="inlineStr">
        <is>
          <t>A CRITICA</t>
        </is>
      </c>
      <c r="E1434" t="inlineStr">
        <is>
          <t>VENEZUELANOS</t>
        </is>
      </c>
      <c r="F1434" t="inlineStr"/>
      <c r="G1434" t="inlineStr">
        <is>
          <t>AGÊNCIA BRASIL</t>
        </is>
      </c>
      <c r="H1434" t="inlineStr">
        <is>
          <t>APAGÃO ATINGE VENEZUELA; GOVERNO FALA EM 'ATAQUE ELETROMAGNÉTICO'</t>
        </is>
      </c>
      <c r="I1434" t="inlineStr">
        <is>
          <t>EM NOTA, O GOVERNO DA VENEZUELA DISSE QUE OS PRIMEIROS INDÍCIOS DE INVESTIGAÇÃO APONTAM PARA UM 'ATAQUE ELETROMAGNÉTICO' QUE ATINGIU O O SISTEMA DE GERAÇÃO HIDRELÉTRICA DE GUAYANA</t>
        </is>
      </c>
      <c r="J1434">
        <f>HYPERLINK("https://www.acritica.com/apag-o-atinge-venezuela-governo-fala-em-ataque-eletromagnetico-1.63823", "URL")</f>
        <v/>
      </c>
      <c r="K1434">
        <f>HYPERLINK("https://raw.githubusercontent.com/marcosmapl/dataset_imigrantes/main/noticias_filtered/a_critica/venezuelanos/2019/06_jul/html/1.63823_740.html", "HTML")</f>
        <v/>
      </c>
      <c r="L1434">
        <f>HYPERLINK("https://raw.githubusercontent.com/marcosmapl/dataset_imigrantes/main/noticias_filtered/a_critica/venezuelanos/2019/06_jul/txt/1.63823_740.txt", "TXT")</f>
        <v/>
      </c>
    </row>
    <row r="1435">
      <c r="A1435" s="1" t="n">
        <v>1433</v>
      </c>
      <c r="B1435" t="n">
        <v>2019</v>
      </c>
      <c r="C1435" s="2" t="n">
        <v>43668.43694444445</v>
      </c>
      <c r="D1435" t="inlineStr">
        <is>
          <t>A CRITICA</t>
        </is>
      </c>
      <c r="E1435" t="inlineStr">
        <is>
          <t>VENEZUELANOS</t>
        </is>
      </c>
      <c r="F1435" t="inlineStr">
        <is>
          <t>MANAUS</t>
        </is>
      </c>
      <c r="G1435" t="inlineStr">
        <is>
          <t>DANIEL AMORIM</t>
        </is>
      </c>
      <c r="H1435" t="inlineStr">
        <is>
          <t>ABRIGO DE REFUGIADOS VENEZUELANOS ESTÁ EM SITUAÇÃO PRECÁRIA EM MANAUS</t>
        </is>
      </c>
      <c r="I1435" t="inlineStr">
        <is>
          <t>FOSSAS ENTUPIDAS, FORNECIMENTO INSUFICIENTE DE ENERGIA ELÉTRICA E FALTA DE ÁGUA SÃO ALGUNS DOS PROBLEMAS ENCONTRADOS NA CASA DE ACOLHIMENTO ALFREDO NASCIMENTO II, DE RESPONSABILIDADE DA PREFEITURA DE MANAUS</t>
        </is>
      </c>
      <c r="J1435">
        <f>HYPERLINK("https://www.acritica.com/manaus/abrigo-de-refugiados-venezuelanos-esta-em-situac-o-precaria-em-manaus-1.62659", "URL")</f>
        <v/>
      </c>
      <c r="K1435">
        <f>HYPERLINK("https://raw.githubusercontent.com/marcosmapl/dataset_imigrantes/main/noticias_filtered/a_critica/venezuelanos/2019/06_jul/html/1.62659_445.html", "HTML")</f>
        <v/>
      </c>
      <c r="L1435">
        <f>HYPERLINK("https://raw.githubusercontent.com/marcosmapl/dataset_imigrantes/main/noticias_filtered/a_critica/venezuelanos/2019/06_jul/txt/1.62659_445.txt", "TXT")</f>
        <v/>
      </c>
    </row>
    <row r="1436">
      <c r="A1436" s="1" t="n">
        <v>1434</v>
      </c>
      <c r="B1436" t="n">
        <v>2019</v>
      </c>
      <c r="C1436" s="2" t="n">
        <v>43667.90642181713</v>
      </c>
      <c r="D1436" t="inlineStr">
        <is>
          <t>G1</t>
        </is>
      </c>
      <c r="E1436" t="inlineStr">
        <is>
          <t>VENEZUELANOS</t>
        </is>
      </c>
      <c r="F1436" t="inlineStr">
        <is>
          <t>MUNDO</t>
        </is>
      </c>
      <c r="G1436" t="inlineStr">
        <is>
          <t>DEUTSCHE WELLE</t>
        </is>
      </c>
      <c r="H1436" t="inlineStr">
        <is>
          <t>EUA DIZEM QUE CAÇA VENEZUELANO "SEGUIU DE FORMA AGRESSIVA" AVIÃO AMERICANO</t>
        </is>
      </c>
      <c r="I1436" t="inlineStr">
        <is>
          <t>SEGUNDO FORÇA AÉREA AMERICANA, O AVIÃO ESTAVA REALIZANDO UMA MISSÃO RECONHECIDA E APROVADA EM ESPAÇO AÉREO INTERNACIONAL SOBRE O MAR DO CARIBE. VENEZUELA AFIRMA QUE AVIÃO  NÃO INFORMOU SUA PRESENÇA E POR ISSO TERIA SIDO INTERCEPTADO E DEPOIS ESCOLTADO PARA FORA DO ESPAÇO AÉREO VENEZUELANO.</t>
        </is>
      </c>
      <c r="J1436">
        <f>HYPERLINK("https://g1.globo.com/mundo/noticia/2019/07/21/eua-dizem-que-caca-venezuelano-seguiu-de-forma-agressiva-aviao-americano.ghtml", "URL")</f>
        <v/>
      </c>
      <c r="K1436">
        <f>HYPERLINK("https://raw.githubusercontent.com/marcosmapl/dataset_imigrantes/main/noticias_filtered/g1/venezuelanos/2019/06_jul/html/g1_dc22bef4-230e-11ed-b24f-6dbe51e79fca_2762.html", "HTML")</f>
        <v/>
      </c>
      <c r="L1436">
        <f>HYPERLINK("https://raw.githubusercontent.com/marcosmapl/dataset_imigrantes/main/noticias_filtered/g1/venezuelanos/2019/06_jul/txt/g1_dc22bef4-230e-11ed-b24f-6dbe51e79fca_2762.txt", "TXT")</f>
        <v/>
      </c>
    </row>
    <row r="1437">
      <c r="A1437" s="1" t="n">
        <v>1435</v>
      </c>
      <c r="B1437" t="n">
        <v>2019</v>
      </c>
      <c r="C1437" s="2" t="n">
        <v>43665.61865140047</v>
      </c>
      <c r="D1437" t="inlineStr">
        <is>
          <t>G1</t>
        </is>
      </c>
      <c r="E1437" t="inlineStr">
        <is>
          <t>VENEZUELANOS</t>
        </is>
      </c>
      <c r="F1437" t="inlineStr">
        <is>
          <t>MUNDO</t>
        </is>
      </c>
      <c r="G1437" t="inlineStr">
        <is>
          <t>FRANCE PRESSE</t>
        </is>
      </c>
      <c r="H1437" t="inlineStr">
        <is>
          <t>VICE-PRESIDENTE DO PARLAMENTO VENEZUELANO FAZ GREVE DE FOME HÁ NOVE DIAS, DIZ GUAIDÓ</t>
        </is>
      </c>
      <c r="I1437" t="inlineStr">
        <is>
          <t>O TRIBUNAL SUPREMO DE JUSTIÇA, DE ORIENTAÇÃO GOVERNISTA, ABRIU PROCESSO PENAIS CONTRA ZAMBRANO E OUTROS 14 LEGISLADORES PELO LEVANTE FRUSTRADO.</t>
        </is>
      </c>
      <c r="J1437">
        <f>HYPERLINK("https://g1.globo.com/mundo/noticia/2019/07/19/vice-presidente-do-parlamento-venezuelano-faz-greve-de-fome-ha-nove-dias-diz-guaido.ghtml", "URL")</f>
        <v/>
      </c>
      <c r="K1437">
        <f>HYPERLINK("https://raw.githubusercontent.com/marcosmapl/dataset_imigrantes/main/noticias_filtered/g1/venezuelanos/2019/06_jul/html/g1_1af2fd9a-2320-11ed-b24f-6dbe51e79fca_3663.html", "HTML")</f>
        <v/>
      </c>
      <c r="L1437">
        <f>HYPERLINK("https://raw.githubusercontent.com/marcosmapl/dataset_imigrantes/main/noticias_filtered/g1/venezuelanos/2019/06_jul/txt/g1_1af2fd9a-2320-11ed-b24f-6dbe51e79fca_3663.txt", "TXT")</f>
        <v/>
      </c>
    </row>
    <row r="1438">
      <c r="A1438" s="1" t="n">
        <v>1436</v>
      </c>
      <c r="B1438" t="n">
        <v>2019</v>
      </c>
      <c r="C1438" s="2" t="n">
        <v>43663.50199074074</v>
      </c>
      <c r="D1438" t="inlineStr">
        <is>
          <t>A CRITICA</t>
        </is>
      </c>
      <c r="E1438" t="inlineStr">
        <is>
          <t>VENEZUELANOS</t>
        </is>
      </c>
      <c r="F1438" t="inlineStr"/>
      <c r="G1438" t="inlineStr">
        <is>
          <t>REUTERS</t>
        </is>
      </c>
      <c r="H1438" t="inlineStr">
        <is>
          <t>TRUMP PLANEJA DIRECIONAR US$40 MILHÕES PARA APOIAR OPOSIÇÃO DA VENEZUELA</t>
        </is>
      </c>
      <c r="I1438" t="inlineStr">
        <is>
          <t>O DINHEIRO SERÁ USADO PARA SALÁRIOS, VIAGENS, EQUIPAMENTOS E TREINAMENTO PARA A ADMINISTRAÇÃO DE UM ORÇAMENTO GOVERNAMENTAL E OUTRAS NECESSIDADES DA OPOSIÇÃO VENEZUELANA</t>
        </is>
      </c>
      <c r="J1438">
        <f>HYPERLINK("https://www.acritica.com/trump-planeja-direcionar-us-40-milh-es-para-apoiar-oposic-o-da-venezuela-1.64008", "URL")</f>
        <v/>
      </c>
      <c r="K1438">
        <f>HYPERLINK("https://raw.githubusercontent.com/marcosmapl/dataset_imigrantes/main/noticias_filtered/a_critica/venezuelanos/2019/06_jul/html/1.64008_1283.html", "HTML")</f>
        <v/>
      </c>
      <c r="L1438">
        <f>HYPERLINK("https://raw.githubusercontent.com/marcosmapl/dataset_imigrantes/main/noticias_filtered/a_critica/venezuelanos/2019/06_jul/txt/1.64008_1283.txt", "TXT")</f>
        <v/>
      </c>
    </row>
    <row r="1439">
      <c r="A1439" s="1" t="n">
        <v>1437</v>
      </c>
      <c r="B1439" t="n">
        <v>2019</v>
      </c>
      <c r="C1439" s="2" t="n">
        <v>43661.54799768519</v>
      </c>
      <c r="D1439" t="inlineStr">
        <is>
          <t>A CRITICA</t>
        </is>
      </c>
      <c r="E1439" t="inlineStr">
        <is>
          <t>VENEZUELANOS</t>
        </is>
      </c>
      <c r="F1439" t="inlineStr"/>
      <c r="G1439" t="inlineStr">
        <is>
          <t>AFP</t>
        </is>
      </c>
      <c r="H1439" t="inlineStr">
        <is>
          <t>PAPA PEDE POR ACORDO PARA ACABAR COM A CRISE NA VENEZUELA</t>
        </is>
      </c>
      <c r="I1439" t="inlineStr">
        <is>
          <t>O PAPA FRANCISCO PEDIU NESTE DOMINGO (14) AO GOVERNO E À OPOSIÇÃO PARA CHEGAR "O MAIS RÁPIDO POSSÍVEL" A UM ACORDO PARA ENCERRAR A GRAVE CRISE DO PAÍS. NEGOCIAÇÕES ACONTECEM NESTA SEMANA EM BARBADOS</t>
        </is>
      </c>
      <c r="J1439">
        <f>HYPERLINK("https://www.acritica.com/papa-pede-por-acordo-para-acabar-com-a-crise-na-venezuela-1.64206", "URL")</f>
        <v/>
      </c>
      <c r="K1439">
        <f>HYPERLINK("https://raw.githubusercontent.com/marcosmapl/dataset_imigrantes/main/noticias_filtered/a_critica/venezuelanos/2019/06_jul/html/1.64206_1184.html", "HTML")</f>
        <v/>
      </c>
      <c r="L1439">
        <f>HYPERLINK("https://raw.githubusercontent.com/marcosmapl/dataset_imigrantes/main/noticias_filtered/a_critica/venezuelanos/2019/06_jul/txt/1.64206_1184.txt", "TXT")</f>
        <v/>
      </c>
    </row>
    <row r="1440">
      <c r="A1440" s="1" t="n">
        <v>1438</v>
      </c>
      <c r="B1440" t="n">
        <v>2019</v>
      </c>
      <c r="C1440" s="2" t="n">
        <v>43659.76658564815</v>
      </c>
      <c r="D1440" t="inlineStr">
        <is>
          <t>A CRITICA</t>
        </is>
      </c>
      <c r="E1440" t="inlineStr">
        <is>
          <t>AMBOS</t>
        </is>
      </c>
      <c r="F1440" t="inlineStr">
        <is>
          <t>MANAUS</t>
        </is>
      </c>
      <c r="G1440" t="inlineStr">
        <is>
          <t>LUIZ G. MELO</t>
        </is>
      </c>
      <c r="H1440" t="inlineStr">
        <is>
          <t>EM RODA DE CONVERSA, CÁRITAS DE MANAUS DEFENDE DIREITOS PARA MAIS POBRES</t>
        </is>
      </c>
      <c r="I1440" t="inlineStr">
        <is>
          <t>PARTICIPARAM DA RODA DE CONVERSA AS LIDERANÇAS DOS MAIS DIVERSOS MOVIMENTOS SOCIAIS QUE ATUAM EM MANAUS. O TEMA DA REUNIÃO FOI "DIREITO A CIDADE PARA TODOS E TODAS"</t>
        </is>
      </c>
      <c r="J1440">
        <f>HYPERLINK("https://www.acritica.com/manaus/em-roda-de-conversa-caritas-de-manaus-defende-direitos-para-mais-pobres-1.64312", "URL")</f>
        <v/>
      </c>
      <c r="K1440">
        <f>HYPERLINK("https://raw.githubusercontent.com/marcosmapl/dataset_imigrantes/main/noticias_filtered/a_critica/ambos/2019/06_jul/html/1.64312_575.html", "HTML")</f>
        <v/>
      </c>
      <c r="L1440">
        <f>HYPERLINK("https://raw.githubusercontent.com/marcosmapl/dataset_imigrantes/main/noticias_filtered/a_critica/ambos/2019/06_jul/txt/1.64312_575.txt", "TXT")</f>
        <v/>
      </c>
    </row>
    <row r="1441">
      <c r="A1441" s="1" t="n">
        <v>1439</v>
      </c>
      <c r="B1441" t="n">
        <v>2019</v>
      </c>
      <c r="C1441" s="2" t="n">
        <v>43659.67821829861</v>
      </c>
      <c r="D1441" t="inlineStr">
        <is>
          <t>G1</t>
        </is>
      </c>
      <c r="E1441" t="inlineStr">
        <is>
          <t>HAITIANOS</t>
        </is>
      </c>
      <c r="F1441" t="inlineStr">
        <is>
          <t>ACRE</t>
        </is>
      </c>
      <c r="G1441" t="inlineStr">
        <is>
          <t>ALINE NASCIMENTO E IRYÁ RODRIGUES, G1 AC — RIO BRANCO</t>
        </is>
      </c>
      <c r="H1441" t="inlineStr">
        <is>
          <t>GOVERNO ACHA SUPOSTO PAI DE MENINO GUIANENSE DE 2 ANOS DEIXADO PELA MÃE EM PRAÇA NO AC</t>
        </is>
      </c>
      <c r="I1441" t="inlineStr">
        <is>
          <t>CRIANÇA ESTÁ NO ABRIGO DE BRASILEIA DESDE ABRIL DESTE ANO. SUPOSTO PAI CHEGOU AO ACRE NESTE SÁBADO (13) PARA PEDIR A GUARDA DO MENINO.</t>
        </is>
      </c>
      <c r="J1441">
        <f>HYPERLINK("https://g1.globo.com/ac/acre/noticia/2019/07/13/governo-acha-suposto-pai-de-menino-guianense-de-2-anos-deixado-pela-mae-em-praca-no-ac.ghtml", "URL")</f>
        <v/>
      </c>
      <c r="K1441">
        <f>HYPERLINK("https://raw.githubusercontent.com/marcosmapl/dataset_imigrantes/main/noticias_filtered/g1/haitianos/2019/06_jul/html/g1_32b967c4-232b-11ed-b24f-6dbe51e79fca_4229.html", "HTML")</f>
        <v/>
      </c>
      <c r="L1441">
        <f>HYPERLINK("https://raw.githubusercontent.com/marcosmapl/dataset_imigrantes/main/noticias_filtered/g1/haitianos/2019/06_jul/txt/g1_32b967c4-232b-11ed-b24f-6dbe51e79fca_4229.txt", "TXT")</f>
        <v/>
      </c>
    </row>
    <row r="1442">
      <c r="A1442" s="1" t="n">
        <v>1440</v>
      </c>
      <c r="B1442" t="n">
        <v>2019</v>
      </c>
      <c r="C1442" s="2" t="n">
        <v>43658.82758190973</v>
      </c>
      <c r="D1442" t="inlineStr">
        <is>
          <t>G1</t>
        </is>
      </c>
      <c r="E1442" t="inlineStr">
        <is>
          <t>VENEZUELANOS</t>
        </is>
      </c>
      <c r="F1442" t="inlineStr">
        <is>
          <t>PERNAMBUCO</t>
        </is>
      </c>
      <c r="G1442" t="inlineStr">
        <is>
          <t>G1 PE</t>
        </is>
      </c>
      <c r="H1442" t="inlineStr">
        <is>
          <t>NOVO GRUPO DE REFUGIADOS VENEZUELANOS CHEGA A PERNAMBUCO</t>
        </is>
      </c>
      <c r="I1442" t="inlineStr">
        <is>
          <t>SEGUNDO GOVERNO ESTADUAL, 26 PESSOAS FORAM ACOLHIDAS E SEGUIRAM PARA CARPINA, NA ZONA DA MATA NORTE. DESDE JULHO DE 2018, ESTADO RECEBEU 343 IMIGRANTES DA VENEZUELA.</t>
        </is>
      </c>
      <c r="J1442">
        <f>HYPERLINK("https://g1.globo.com/pe/pernambuco/noticia/2019/07/12/novo-grupo-de-refugiados-venezuelanos-chega-a-pernambuco.ghtml", "URL")</f>
        <v/>
      </c>
      <c r="K1442">
        <f>HYPERLINK("https://raw.githubusercontent.com/marcosmapl/dataset_imigrantes/main/noticias_filtered/g1/venezuelanos/2019/06_jul/html/g1_8349c1a2-230d-11ed-b24f-6dbe51e79fca_2693.html", "HTML")</f>
        <v/>
      </c>
      <c r="L1442">
        <f>HYPERLINK("https://raw.githubusercontent.com/marcosmapl/dataset_imigrantes/main/noticias_filtered/g1/venezuelanos/2019/06_jul/txt/g1_8349c1a2-230d-11ed-b24f-6dbe51e79fca_2693.txt", "TXT")</f>
        <v/>
      </c>
    </row>
    <row r="1443">
      <c r="A1443" s="1" t="n">
        <v>1441</v>
      </c>
      <c r="B1443" t="n">
        <v>2019</v>
      </c>
      <c r="C1443" s="2" t="n">
        <v>43657.59444444445</v>
      </c>
      <c r="D1443" t="inlineStr">
        <is>
          <t>A CRITICA</t>
        </is>
      </c>
      <c r="E1443" t="inlineStr">
        <is>
          <t>VENEZUELANOS</t>
        </is>
      </c>
      <c r="F1443" t="inlineStr">
        <is>
          <t>MANAUS</t>
        </is>
      </c>
      <c r="G1443" t="inlineStr">
        <is>
          <t>AMANDA GUIMARÃES</t>
        </is>
      </c>
      <c r="H1443" t="inlineStr">
        <is>
          <t>IMIGRANTE VENEZUELANA QUE ACUSA PADRE DE ESTUPRO ESTÁ GRÁVIDA, DIZ PAI</t>
        </is>
      </c>
      <c r="I1443" t="inlineStr">
        <is>
          <t>O PAI DA MULHER DE 29 ANOS QUE DENUNCIOU O PADRE DE TRÊS CASOS DE ESTUPRO AFIRMOU QUE A MULHER ESTÁ GRÁVIDA DE 6 SEMANAS. SEGUNDO ELE, O SACERDOTE É PAI DA CRIANÇA</t>
        </is>
      </c>
      <c r="J1443">
        <f>HYPERLINK("https://www.acritica.com/manaus/imigrante-venezuelana-que-acusa-padre-de-estupro-esta-gravida-diz-pai-1.64480", "URL")</f>
        <v/>
      </c>
      <c r="K1443">
        <f>HYPERLINK("https://raw.githubusercontent.com/marcosmapl/dataset_imigrantes/main/noticias_filtered/a_critica/venezuelanos/2019/06_jul/html/1.64480_1352.html", "HTML")</f>
        <v/>
      </c>
      <c r="L1443">
        <f>HYPERLINK("https://raw.githubusercontent.com/marcosmapl/dataset_imigrantes/main/noticias_filtered/a_critica/venezuelanos/2019/06_jul/txt/1.64480_1352.txt", "TXT")</f>
        <v/>
      </c>
    </row>
    <row r="1444">
      <c r="A1444" s="1" t="n">
        <v>1442</v>
      </c>
      <c r="B1444" t="n">
        <v>2019</v>
      </c>
      <c r="C1444" s="2" t="n">
        <v>43656.375</v>
      </c>
      <c r="D1444" t="inlineStr">
        <is>
          <t>A CRITICA</t>
        </is>
      </c>
      <c r="E1444" t="inlineStr">
        <is>
          <t>VENEZUELANOS</t>
        </is>
      </c>
      <c r="F1444" t="inlineStr">
        <is>
          <t>MANAUS</t>
        </is>
      </c>
      <c r="G1444" t="inlineStr">
        <is>
          <t>PEDRO SOUSA</t>
        </is>
      </c>
      <c r="H1444" t="inlineStr">
        <is>
          <t>PADRE APROVEITOU ESTADO DE SAÚDE DE VENEZUELANA PARA ESTUPRÁ-LA, DIZ PAI</t>
        </is>
      </c>
      <c r="I1444" t="inlineStr">
        <is>
          <t>SEGUNDO O PAI DA VÍTIMA, ERA IMPOSSÍVEL A REFUGIADA TER CONSENTIDO A RELAÇÃO SEXUAL JÁ QUE ELA SE ENCONTRAVA INCAPACITADA E SOB FORTE EFEITO DE MEDICAMENTOS</t>
        </is>
      </c>
      <c r="J1444">
        <f>HYPERLINK("https://www.acritica.com/manaus/padre-aproveitou-estado-de-saude-de-venezuelana-para-estupra-la-diz-pai-1.64600", "URL")</f>
        <v/>
      </c>
      <c r="K1444">
        <f>HYPERLINK("https://raw.githubusercontent.com/marcosmapl/dataset_imigrantes/main/noticias_filtered/a_critica/venezuelanos/2019/06_jul/html/1.64600_1085.html", "HTML")</f>
        <v/>
      </c>
      <c r="L1444">
        <f>HYPERLINK("https://raw.githubusercontent.com/marcosmapl/dataset_imigrantes/main/noticias_filtered/a_critica/venezuelanos/2019/06_jul/txt/1.64600_1085.txt", "TXT")</f>
        <v/>
      </c>
    </row>
    <row r="1445">
      <c r="A1445" s="1" t="n">
        <v>1443</v>
      </c>
      <c r="B1445" t="n">
        <v>2019</v>
      </c>
      <c r="C1445" s="2" t="n">
        <v>43655.51903664352</v>
      </c>
      <c r="D1445" t="inlineStr">
        <is>
          <t>G1</t>
        </is>
      </c>
      <c r="E1445" t="inlineStr">
        <is>
          <t>VENEZUELANOS</t>
        </is>
      </c>
      <c r="F1445" t="inlineStr">
        <is>
          <t>AMAZONAS</t>
        </is>
      </c>
      <c r="G1445" t="inlineStr">
        <is>
          <t>ELIANA NASCIMENTO, G1 AM</t>
        </is>
      </c>
      <c r="H1445" t="inlineStr">
        <is>
          <t>VENEZUELANO É BALEADO EM TENTATIVA DE ASSALTO EM MANAUS</t>
        </is>
      </c>
      <c r="I1445" t="inlineStr">
        <is>
          <t>MORADORES INFORMARAM QUE O RAPAZ TERIA REAGIDO AO ASSALTO E FOI BALEADO NA PERNA ESQUERDA.</t>
        </is>
      </c>
      <c r="J1445">
        <f>HYPERLINK("https://g1.globo.com/am/amazonas/noticia/2019/07/09/venezuelano-e-baleado-em-tentativa-de-assalto-em-manaus.ghtml", "URL")</f>
        <v/>
      </c>
      <c r="K1445">
        <f>HYPERLINK("https://raw.githubusercontent.com/marcosmapl/dataset_imigrantes/main/noticias_filtered/g1/venezuelanos/2019/06_jul/html/g1_3ceb1e2c-2321-11ed-b24f-6dbe51e79fca_3687.html", "HTML")</f>
        <v/>
      </c>
      <c r="L1445">
        <f>HYPERLINK("https://raw.githubusercontent.com/marcosmapl/dataset_imigrantes/main/noticias_filtered/g1/venezuelanos/2019/06_jul/txt/g1_3ceb1e2c-2321-11ed-b24f-6dbe51e79fca_3687.txt", "TXT")</f>
        <v/>
      </c>
    </row>
    <row r="1446">
      <c r="A1446" s="1" t="n">
        <v>1444</v>
      </c>
      <c r="B1446" t="n">
        <v>2019</v>
      </c>
      <c r="C1446" s="2" t="n">
        <v>43655.50787923611</v>
      </c>
      <c r="D1446" t="inlineStr">
        <is>
          <t>G1</t>
        </is>
      </c>
      <c r="E1446" t="inlineStr">
        <is>
          <t>VENEZUELANOS</t>
        </is>
      </c>
      <c r="F1446" t="inlineStr">
        <is>
          <t>ACRE</t>
        </is>
      </c>
      <c r="G1446" t="inlineStr">
        <is>
          <t>ALCINETE GADELHA, G1 AC — RIO BRANCO</t>
        </is>
      </c>
      <c r="H1446" t="inlineStr">
        <is>
          <t>NO ACRE, VENEZUELANO FATURA R$ 50 POR DIA COM MALABARISMO: 'DÁ PARA COMER E PAGAR O ALUGUEL'</t>
        </is>
      </c>
      <c r="I1446" t="inlineStr">
        <is>
          <t>GARÇOM NO PAÍS DE ORIGEM, FRANCISCO ALEJANDRO FLORES, DE 23 ANOS, VEIO PARA O BRASIL EM 2016, AFUGENTADO PELA CRISE E APÓS PERDER A MÃE PARA O CÂNCER.</t>
        </is>
      </c>
      <c r="J1446">
        <f>HYPERLINK("https://g1.globo.com/ac/acre/noticia/2019/07/09/no-acre-venezuelano-fatura-r-50-por-dia-com-malabarismo-da-para-comer-e-pagar-o-aluguel.ghtml", "URL")</f>
        <v/>
      </c>
      <c r="K1446">
        <f>HYPERLINK("https://raw.githubusercontent.com/marcosmapl/dataset_imigrantes/main/noticias_filtered/g1/venezuelanos/2019/06_jul/html/g1_dff2fb2a-2309-11ed-b24f-6dbe51e79fca_2470.html", "HTML")</f>
        <v/>
      </c>
      <c r="L1446">
        <f>HYPERLINK("https://raw.githubusercontent.com/marcosmapl/dataset_imigrantes/main/noticias_filtered/g1/venezuelanos/2019/06_jul/txt/g1_dff2fb2a-2309-11ed-b24f-6dbe51e79fca_2470.txt", "TXT")</f>
        <v/>
      </c>
    </row>
    <row r="1447">
      <c r="A1447" s="1" t="n">
        <v>1445</v>
      </c>
      <c r="B1447" t="n">
        <v>2019</v>
      </c>
      <c r="C1447" s="2" t="n">
        <v>43654.89994212963</v>
      </c>
      <c r="D1447" t="inlineStr">
        <is>
          <t>A CRITICA</t>
        </is>
      </c>
      <c r="E1447" t="inlineStr">
        <is>
          <t>VENEZUELANOS</t>
        </is>
      </c>
      <c r="F1447" t="inlineStr">
        <is>
          <t>MANAUS</t>
        </is>
      </c>
      <c r="G1447" t="inlineStr">
        <is>
          <t>MARCOS LIMA</t>
        </is>
      </c>
      <c r="H1447" t="inlineStr">
        <is>
          <t>PADRE NEGA ESTUPRO E DIZ QUE TINHA RELAÇÃO AMOROSA COM VENEZUELANA QUE O ACUSA</t>
        </is>
      </c>
      <c r="I1447" t="inlineStr">
        <is>
          <t>ACUSADO DE ESTUPRAR UMA IMIGRANTE, O PADRE DE 60 ANOS COMPARECEU AO 5º DIP PARA PRESTAR DEPOIMENTO NESTA SEGUNDA-FEIRA (8)</t>
        </is>
      </c>
      <c r="J1447">
        <f>HYPERLINK("https://www.acritica.com/manaus/padre-nega-estupro-e-diz-que-tinha-relac-o-amorosa-com-venezuelana-que-o-acusa-1.64668", "URL")</f>
        <v/>
      </c>
      <c r="K1447">
        <f>HYPERLINK("https://raw.githubusercontent.com/marcosmapl/dataset_imigrantes/main/noticias_filtered/a_critica/venezuelanos/2019/06_jul/html/1.64668_1296.html", "HTML")</f>
        <v/>
      </c>
      <c r="L1447">
        <f>HYPERLINK("https://raw.githubusercontent.com/marcosmapl/dataset_imigrantes/main/noticias_filtered/a_critica/venezuelanos/2019/06_jul/txt/1.64668_1296.txt", "TXT")</f>
        <v/>
      </c>
    </row>
    <row r="1448">
      <c r="A1448" s="1" t="n">
        <v>1446</v>
      </c>
      <c r="B1448" t="n">
        <v>2019</v>
      </c>
      <c r="C1448" s="2" t="n">
        <v>43652.825</v>
      </c>
      <c r="D1448" t="inlineStr">
        <is>
          <t>PORTAL AMAZONIA</t>
        </is>
      </c>
      <c r="E1448" t="inlineStr">
        <is>
          <t>VENEZUELANOS</t>
        </is>
      </c>
      <c r="F1448" t="inlineStr">
        <is>
          <t>CIDADES</t>
        </is>
      </c>
      <c r="G1448" t="inlineStr">
        <is>
          <t>REDAÇÃO</t>
        </is>
      </c>
      <c r="H1448" t="inlineStr">
        <is>
          <t>ACRE REGISTRA 14,6°C E TEM MADRUGADA MAIS FRIA DO ANO, APONTA SIPAM</t>
        </is>
      </c>
      <c r="I1448" t="inlineStr">
        <is>
          <t>O ACRE TEVE A MADRUGADA MAIS FRIA JÁ REGISTRADA EM 2019 NESTE SÁBADO (6), SEGUNDO O SISTEMA DE PROTEÇÃO DA AMAZÔNIA (SIPAM). A TEMPERATURA FOI REGISTRADA PELO INSTITUTO NACIONAL DE METEOROLOGIA (INMET) E BATEU O RECORDE DESTE ANO. O LESTE E O SUL DO</t>
        </is>
      </c>
      <c r="J1448">
        <f>HYPERLINK("https://portalamazonia.com/noticias/cidades/acre-registra-14-6-c-e-tem-madrugada-mais-fria-do-ano-aponta-sipam", "URL")</f>
        <v/>
      </c>
      <c r="K1448">
        <f>HYPERLINK("https://raw.githubusercontent.com/marcosmapl/dataset_imigrantes/main/noticias_filtered/portal_amazonia/venezuelanos/2019/06_jul/html/22113.22113_1389.html", "HTML")</f>
        <v/>
      </c>
      <c r="L1448">
        <f>HYPERLINK("https://raw.githubusercontent.com/marcosmapl/dataset_imigrantes/main/noticias_filtered/portal_amazonia/venezuelanos/2019/06_jul/txt/22113.22113_1389.txt", "TXT")</f>
        <v/>
      </c>
    </row>
    <row r="1449">
      <c r="A1449" s="1" t="n">
        <v>1447</v>
      </c>
      <c r="B1449" t="n">
        <v>2019</v>
      </c>
      <c r="C1449" s="2" t="n">
        <v>43652.0122337963</v>
      </c>
      <c r="D1449" t="inlineStr">
        <is>
          <t>A CRITICA</t>
        </is>
      </c>
      <c r="E1449" t="inlineStr">
        <is>
          <t>VENEZUELANOS</t>
        </is>
      </c>
      <c r="F1449" t="inlineStr"/>
      <c r="G1449" t="inlineStr">
        <is>
          <t>REUTERS</t>
        </is>
      </c>
      <c r="H1449" t="inlineStr">
        <is>
          <t>EM DIA DA INDEPENDÊNCIA DA VENEZUELA, MADURO PEDE DIÁLOGO E GUAIDÓ CRITICA DITADURA</t>
        </is>
      </c>
      <c r="I1449" t="inlineStr">
        <is>
          <t>MADURO REITEROU APOIO A UM PROCESSO DE NEGOCIAÇÃO MEDIADO PELA NORUEGA ENTRE O SEU GOVERNO SOCIALISTA E GUAIDÓ, LÍDER DA ASSEMBLÉIA NACIONAL, CONTROLADA PELA OPOSIÇÃO</t>
        </is>
      </c>
      <c r="J1449">
        <f>HYPERLINK("https://www.acritica.com/em-dia-da-independencia-da-venezuela-maduro-pede-dialogo-e-guaido-critica-ditadura-1.64839", "URL")</f>
        <v/>
      </c>
      <c r="K1449">
        <f>HYPERLINK("https://raw.githubusercontent.com/marcosmapl/dataset_imigrantes/main/noticias_filtered/a_critica/venezuelanos/2019/06_jul/html/1.64839_379.html", "HTML")</f>
        <v/>
      </c>
      <c r="L1449">
        <f>HYPERLINK("https://raw.githubusercontent.com/marcosmapl/dataset_imigrantes/main/noticias_filtered/a_critica/venezuelanos/2019/06_jul/txt/1.64839_379.txt", "TXT")</f>
        <v/>
      </c>
    </row>
    <row r="1450">
      <c r="A1450" s="1" t="n">
        <v>1448</v>
      </c>
      <c r="B1450" t="n">
        <v>2019</v>
      </c>
      <c r="C1450" s="2" t="n">
        <v>43651.66666666666</v>
      </c>
      <c r="D1450" t="inlineStr">
        <is>
          <t>A CRITICA</t>
        </is>
      </c>
      <c r="E1450" t="inlineStr">
        <is>
          <t>VENEZUELANOS</t>
        </is>
      </c>
      <c r="F1450" t="inlineStr">
        <is>
          <t>MANAUS</t>
        </is>
      </c>
      <c r="G1450" t="inlineStr">
        <is>
          <t>AMANDA GUIMARÃES</t>
        </is>
      </c>
      <c r="H1450" t="inlineStr">
        <is>
          <t>PADRE DENUNCIADO POR ESTUPROS É SUSPENSO DE ATIVIDADES NA ARQUIDIOCESE</t>
        </is>
      </c>
      <c r="I1450" t="inlineStr">
        <is>
          <t>POR CONTA DA MEDIDA, O PADRE NÃO PODE ATUAR, TEMPORARIAMENTE, NO CARGO ECLESIÁSTICO. A VENEZUELANA DENUNCIOU O SACERDOTE NA ÚLTIMA QUARTA-FEIRA (3)</t>
        </is>
      </c>
      <c r="J1450">
        <f>HYPERLINK("https://www.acritica.com/manaus/padre-denunciado-por-estupros-e-suspenso-de-atividades-na-arquidiocese-1.64873", "URL")</f>
        <v/>
      </c>
      <c r="K1450">
        <f>HYPERLINK("https://raw.githubusercontent.com/marcosmapl/dataset_imigrantes/main/noticias_filtered/a_critica/venezuelanos/2019/06_jul/html/1.64873_479.html", "HTML")</f>
        <v/>
      </c>
      <c r="L1450">
        <f>HYPERLINK("https://raw.githubusercontent.com/marcosmapl/dataset_imigrantes/main/noticias_filtered/a_critica/venezuelanos/2019/06_jul/txt/1.64873_479.txt", "TXT")</f>
        <v/>
      </c>
    </row>
    <row r="1451">
      <c r="A1451" s="1" t="n">
        <v>1449</v>
      </c>
      <c r="B1451" t="n">
        <v>2019</v>
      </c>
      <c r="C1451" s="2" t="n">
        <v>43651.63680555556</v>
      </c>
      <c r="D1451" t="inlineStr">
        <is>
          <t>A CRITICA</t>
        </is>
      </c>
      <c r="E1451" t="inlineStr">
        <is>
          <t>VENEZUELANOS</t>
        </is>
      </c>
      <c r="F1451" t="inlineStr">
        <is>
          <t>MANAUS</t>
        </is>
      </c>
      <c r="G1451" t="inlineStr">
        <is>
          <t>AMANDA GUIMARÃES</t>
        </is>
      </c>
      <c r="H1451" t="inlineStr">
        <is>
          <t>VENEZUELANA COM CÂNCER DENUNCIA PADRE EM MANAUS POR ESTUPROS</t>
        </is>
      </c>
      <c r="I1451" t="inlineStr">
        <is>
          <t>DENUNCIANTE ALEGA QUE DURANTE OS CRIMES, O SACERDOTE DIZIA QUE ELA SERIA CURADA DA DOENÇA E QUE ELE GRITAVA NA HORA DE EJACULAR: “DEUS TE AMA!”</t>
        </is>
      </c>
      <c r="J1451">
        <f>HYPERLINK("https://www.acritica.com/manaus/venezuelana-com-cancer-denuncia-padre-em-manaus-por-estupros-1.64879", "URL")</f>
        <v/>
      </c>
      <c r="K1451">
        <f>HYPERLINK("https://raw.githubusercontent.com/marcosmapl/dataset_imigrantes/main/noticias_filtered/a_critica/venezuelanos/2019/06_jul/html/1.64879_248.html", "HTML")</f>
        <v/>
      </c>
      <c r="L1451">
        <f>HYPERLINK("https://raw.githubusercontent.com/marcosmapl/dataset_imigrantes/main/noticias_filtered/a_critica/venezuelanos/2019/06_jul/txt/1.64879_248.txt", "TXT")</f>
        <v/>
      </c>
    </row>
    <row r="1452">
      <c r="A1452" s="1" t="n">
        <v>1450</v>
      </c>
      <c r="B1452" t="n">
        <v>2019</v>
      </c>
      <c r="C1452" s="2" t="n">
        <v>43651.48341435185</v>
      </c>
      <c r="D1452" t="inlineStr">
        <is>
          <t>A CRITICA</t>
        </is>
      </c>
      <c r="E1452" t="inlineStr">
        <is>
          <t>VENEZUELANOS</t>
        </is>
      </c>
      <c r="F1452" t="inlineStr">
        <is>
          <t>ESPORTES</t>
        </is>
      </c>
      <c r="G1452" t="inlineStr">
        <is>
          <t>GABRIEL FERREIRA</t>
        </is>
      </c>
      <c r="H1452" t="inlineStr">
        <is>
          <t>SELEÇÃO AMAZONENSE DE NATAÇÃO PARTICIPA DE TORNEIO NORTE-NORDESTE NO PARÁ</t>
        </is>
      </c>
      <c r="I1452" t="inlineStr">
        <is>
          <t>CERCA DE 42 ATLETAS FAZEM PARTE DA DELEGAÇÃO, DIVIDIDOS NAS CATEGORIAS INFANTIL, JUVENIL, JUNIOR E SÊNIOR</t>
        </is>
      </c>
      <c r="J1452">
        <f>HYPERLINK("https://www.acritica.com/esportes/selec-o-amazonense-de-natac-o-participa-de-torneio-norte-nordeste-no-para-1.64911", "URL")</f>
        <v/>
      </c>
      <c r="K1452">
        <f>HYPERLINK("https://raw.githubusercontent.com/marcosmapl/dataset_imigrantes/main/noticias_filtered/a_critica/venezuelanos/2019/06_jul/html/1.64911_811.html", "HTML")</f>
        <v/>
      </c>
      <c r="L1452">
        <f>HYPERLINK("https://raw.githubusercontent.com/marcosmapl/dataset_imigrantes/main/noticias_filtered/a_critica/venezuelanos/2019/06_jul/txt/1.64911_811.txt", "TXT")</f>
        <v/>
      </c>
    </row>
    <row r="1453">
      <c r="A1453" s="1" t="n">
        <v>1451</v>
      </c>
      <c r="B1453" t="n">
        <v>2019</v>
      </c>
      <c r="C1453" s="2" t="n">
        <v>43651.45568096065</v>
      </c>
      <c r="D1453" t="inlineStr">
        <is>
          <t>G1</t>
        </is>
      </c>
      <c r="E1453" t="inlineStr">
        <is>
          <t>HAITIANOS</t>
        </is>
      </c>
      <c r="F1453" t="inlineStr">
        <is>
          <t>MUNDO</t>
        </is>
      </c>
      <c r="G1453" t="inlineStr">
        <is>
          <t>ANDRÉ SHALDERS, BBC</t>
        </is>
      </c>
      <c r="H1453" t="inlineStr">
        <is>
          <t>A REDE DE FALSÁRIOS QUE EXPLORA IMIGRANTES HAITIANOS NO BRASIL</t>
        </is>
      </c>
      <c r="I1453" t="inlineStr">
        <is>
          <t>PF INVESTIGA REDE DE 'DESPACHANTES' QUE VENDE CERTIDÕES FALSAS A IMIGRANTES HAITIANOS, QUE PRECISAM DE DOCUMENTO - QUE LEVA ATÉ SEIS MESES PARA SER EMITIDO POR CONSULADO HAITIANO - PARA REGULARIZAR SITUAÇÃO NO BRASIL.</t>
        </is>
      </c>
      <c r="J1453">
        <f>HYPERLINK("https://g1.globo.com/mundo/noticia/2019/07/05/a-rede-de-falsarios-que-explora-imigrantes-haitianos-no-brasil.ghtml", "URL")</f>
        <v/>
      </c>
      <c r="K1453">
        <f>HYPERLINK("https://raw.githubusercontent.com/marcosmapl/dataset_imigrantes/main/noticias_filtered/g1/haitianos/2019/06_jul/html/g1_933c89b8-22fa-11ed-b24f-6dbe51e79fca_2229.html", "HTML")</f>
        <v/>
      </c>
      <c r="L1453">
        <f>HYPERLINK("https://raw.githubusercontent.com/marcosmapl/dataset_imigrantes/main/noticias_filtered/g1/haitianos/2019/06_jul/txt/g1_933c89b8-22fa-11ed-b24f-6dbe51e79fca_2229.txt", "TXT")</f>
        <v/>
      </c>
    </row>
    <row r="1454">
      <c r="A1454" s="1" t="n">
        <v>1452</v>
      </c>
      <c r="B1454" t="n">
        <v>2019</v>
      </c>
      <c r="C1454" s="2" t="n">
        <v>43649.6228090162</v>
      </c>
      <c r="D1454" t="inlineStr">
        <is>
          <t>G1</t>
        </is>
      </c>
      <c r="E1454" t="inlineStr">
        <is>
          <t>HAITIANOS</t>
        </is>
      </c>
      <c r="F1454" t="inlineStr">
        <is>
          <t>MUNDO</t>
        </is>
      </c>
      <c r="G1454" t="inlineStr">
        <is>
          <t>G1</t>
        </is>
      </c>
      <c r="H1454" t="inlineStr">
        <is>
          <t>MENINA BRASILEIRA DE 2 ANOS DESAPARECE EM RIO ENTRE EUA E MÉXICO</t>
        </is>
      </c>
      <c r="I1454" t="inlineStr">
        <is>
          <t>A MÃE, HAITIANA, CRUZOU DO MÉXICO PARA OS EUA, FOI DETIDA E AFIRMOU QUE A FILHA DE 2 ANOS HAVIA DESAPARECIDO NA TRAVESSIA.</t>
        </is>
      </c>
      <c r="J1454">
        <f>HYPERLINK("https://g1.globo.com/mundo/noticia/2019/07/03/menina-de-2-anos-desapareceu-em-rio-entre-eua-e-mexico.ghtml", "URL")</f>
        <v/>
      </c>
      <c r="K1454">
        <f>HYPERLINK("https://raw.githubusercontent.com/marcosmapl/dataset_imigrantes/main/noticias_filtered/g1/haitianos/2019/06_jul/html/g1_aeeb8466-231d-11ed-b24f-6dbe51e79fca_3515.html", "HTML")</f>
        <v/>
      </c>
      <c r="L1454">
        <f>HYPERLINK("https://raw.githubusercontent.com/marcosmapl/dataset_imigrantes/main/noticias_filtered/g1/haitianos/2019/06_jul/txt/g1_aeeb8466-231d-11ed-b24f-6dbe51e79fca_3515.txt", "TXT")</f>
        <v/>
      </c>
    </row>
    <row r="1455">
      <c r="A1455" s="1" t="n">
        <v>1453</v>
      </c>
      <c r="B1455" t="n">
        <v>2019</v>
      </c>
      <c r="C1455" s="2" t="n">
        <v>43649.54009259259</v>
      </c>
      <c r="D1455" t="inlineStr">
        <is>
          <t>A CRITICA</t>
        </is>
      </c>
      <c r="E1455" t="inlineStr">
        <is>
          <t>VENEZUELANOS</t>
        </is>
      </c>
      <c r="F1455" t="inlineStr"/>
      <c r="G1455" t="inlineStr">
        <is>
          <t>AGÊNCIA BRASIL</t>
        </is>
      </c>
      <c r="H1455" t="inlineStr">
        <is>
          <t>GUAIDÓ DIZ QUE 'NUNCA' SERÁ UM BOM MOMENTO PARA NEGOCIAR COM MADURO</t>
        </is>
      </c>
      <c r="I1455" t="inlineStr">
        <is>
          <t>GUAIDÓ E MADURO HAVIAM ENVIADO REPRESENTANTES A OSLO EM MAIO, PARA DISCUSSÕES INCENTIVADAS PELO GOVERNO DA NORUEGA, MAS AS PARTES NÃO CONSEGUIRAM CHEGAR A QUALQUER TIPO DE ACORDO</t>
        </is>
      </c>
      <c r="J1455">
        <f>HYPERLINK("https://www.acritica.com/guaido-diz-que-nunca-sera-um-bom-momento-para-negociar-com-maduro-1.65053", "URL")</f>
        <v/>
      </c>
      <c r="K1455">
        <f>HYPERLINK("https://raw.githubusercontent.com/marcosmapl/dataset_imigrantes/main/noticias_filtered/a_critica/venezuelanos/2019/06_jul/html/1.65053_977.html", "HTML")</f>
        <v/>
      </c>
      <c r="L1455">
        <f>HYPERLINK("https://raw.githubusercontent.com/marcosmapl/dataset_imigrantes/main/noticias_filtered/a_critica/venezuelanos/2019/06_jul/txt/1.65053_977.txt", "TXT")</f>
        <v/>
      </c>
    </row>
    <row r="1456">
      <c r="A1456" s="1" t="n">
        <v>1454</v>
      </c>
      <c r="B1456" t="n">
        <v>2019</v>
      </c>
      <c r="C1456" s="2" t="n">
        <v>43648.64862268518</v>
      </c>
      <c r="D1456" t="inlineStr">
        <is>
          <t>A CRITICA</t>
        </is>
      </c>
      <c r="E1456" t="inlineStr">
        <is>
          <t>VENEZUELANOS</t>
        </is>
      </c>
      <c r="F1456" t="inlineStr"/>
      <c r="G1456" t="inlineStr">
        <is>
          <t>AFP</t>
        </is>
      </c>
      <c r="H1456" t="inlineStr">
        <is>
          <t>MÃE DE VENEZUELANO QUE FICOU CEGO EM PROTESTO PEDE 'JUSTIÇA'</t>
        </is>
      </c>
      <c r="I1456" t="inlineStr">
        <is>
          <t>"QUERO JUSTIÇA, JUSTIÇA, JUSTIÇA", REPETIA NESTA TERÇA-FEIRA (2) ADRIANA PARADA, MÃE DE RUFO CHACÓN, DO LADO DE FORA DO HOSPITAL DE SAN CRISTÓBAL, CAPITAL DE TÁCHIRA, ONDE SEU FILHO ESTÁ INTERNADO</t>
        </is>
      </c>
      <c r="J1456">
        <f>HYPERLINK("https://www.acritica.com/m-e-de-venezuelano-que-ficou-cego-em-protesto-pede-justica-1.65128", "URL")</f>
        <v/>
      </c>
      <c r="K1456">
        <f>HYPERLINK("https://raw.githubusercontent.com/marcosmapl/dataset_imigrantes/main/noticias_filtered/a_critica/venezuelanos/2019/06_jul/html/1.65128_531.html", "HTML")</f>
        <v/>
      </c>
      <c r="L1456">
        <f>HYPERLINK("https://raw.githubusercontent.com/marcosmapl/dataset_imigrantes/main/noticias_filtered/a_critica/venezuelanos/2019/06_jul/txt/1.65128_531.txt", "TXT")</f>
        <v/>
      </c>
    </row>
    <row r="1457">
      <c r="A1457" s="1" t="n">
        <v>1455</v>
      </c>
      <c r="B1457" t="n">
        <v>2019</v>
      </c>
      <c r="C1457" s="2" t="n">
        <v>43647.80169827546</v>
      </c>
      <c r="D1457" t="inlineStr">
        <is>
          <t>G1</t>
        </is>
      </c>
      <c r="E1457" t="inlineStr">
        <is>
          <t>VENEZUELANOS</t>
        </is>
      </c>
      <c r="F1457" t="inlineStr">
        <is>
          <t>RORAIMA</t>
        </is>
      </c>
      <c r="G1457" t="inlineStr">
        <is>
          <t>G1 RR — BOA VISTA</t>
        </is>
      </c>
      <c r="H1457" t="inlineStr">
        <is>
          <t>CRIANÇAS VENEZUELANAS GANHAM DIA DE LAZER EM SHOPPING DE BOA VISTA</t>
        </is>
      </c>
      <c r="I1457" t="inlineStr">
        <is>
          <t>NESTA TERÇA (2), 150 CRIANÇAS QUE VIVEM EM ABRIGOS SERÃO LEVADAS PARA ASSISTIR FILME, ALMOÇAR E BRINCAR EM PARQUE DO PÁTIO RORAIMA SHOPPING.</t>
        </is>
      </c>
      <c r="J1457">
        <f>HYPERLINK("https://g1.globo.com/rr/roraima/noticia/2019/07/01/criancas-venezuelanas-ganham-dia-de-lazer-em-shopping-de-boa-vista.ghtml", "URL")</f>
        <v/>
      </c>
      <c r="K1457">
        <f>HYPERLINK("https://raw.githubusercontent.com/marcosmapl/dataset_imigrantes/main/noticias_filtered/g1/venezuelanos/2019/06_jul/html/g1_b3db5ee0-231f-11ed-b24f-6dbe51e79fca_3639.html", "HTML")</f>
        <v/>
      </c>
      <c r="L1457">
        <f>HYPERLINK("https://raw.githubusercontent.com/marcosmapl/dataset_imigrantes/main/noticias_filtered/g1/venezuelanos/2019/06_jul/txt/g1_b3db5ee0-231f-11ed-b24f-6dbe51e79fca_3639.txt", "TXT")</f>
        <v/>
      </c>
    </row>
    <row r="1458">
      <c r="A1458" s="1" t="n">
        <v>1456</v>
      </c>
      <c r="B1458" t="n">
        <v>2019</v>
      </c>
      <c r="C1458" s="2" t="n">
        <v>43645.73538980324</v>
      </c>
      <c r="D1458" t="inlineStr">
        <is>
          <t>G1</t>
        </is>
      </c>
      <c r="E1458" t="inlineStr">
        <is>
          <t>VENEZUELANOS</t>
        </is>
      </c>
      <c r="F1458" t="inlineStr">
        <is>
          <t>MUNDO</t>
        </is>
      </c>
      <c r="G1458" t="inlineStr">
        <is>
          <t>FRANCE PRESSE</t>
        </is>
      </c>
      <c r="H1458" t="inlineStr">
        <is>
          <t>VENEZUELA DEPORTA 59 COLOMBIANOS ACUSADOS DE 'TERRORISMO', DIZ ONG</t>
        </is>
      </c>
      <c r="I1458" t="inlineStr">
        <is>
          <t>INFORMAÇÃO É DE ORGANIZAÇÃO CONTRÁRIA A MADURO; AS AUTORIDADES VENEZUELANAS, NO ENTANTO, NÃO CONFIRMARAM A DEPORTAÇÃO.</t>
        </is>
      </c>
      <c r="J1458">
        <f>HYPERLINK("https://g1.globo.com/mundo/noticia/2019/06/29/venezuela-deporta-59-colombianos-acusados-de-terrorismo-diz-ong.ghtml", "URL")</f>
        <v/>
      </c>
      <c r="K1458">
        <f>HYPERLINK("https://raw.githubusercontent.com/marcosmapl/dataset_imigrantes/main/noticias_filtered/g1/venezuelanos/2019/05_jun/html/g1_9b801ef4-230f-11ed-b24f-6dbe51e79fca_2807.html", "HTML")</f>
        <v/>
      </c>
      <c r="L1458">
        <f>HYPERLINK("https://raw.githubusercontent.com/marcosmapl/dataset_imigrantes/main/noticias_filtered/g1/venezuelanos/2019/05_jun/txt/g1_9b801ef4-230f-11ed-b24f-6dbe51e79fca_2807.txt", "TXT")</f>
        <v/>
      </c>
    </row>
    <row r="1459">
      <c r="A1459" s="1" t="n">
        <v>1457</v>
      </c>
      <c r="B1459" t="n">
        <v>2019</v>
      </c>
      <c r="C1459" s="2" t="n">
        <v>43644.88818287037</v>
      </c>
      <c r="D1459" t="inlineStr">
        <is>
          <t>A CRITICA</t>
        </is>
      </c>
      <c r="E1459" t="inlineStr">
        <is>
          <t>VENEZUELANOS</t>
        </is>
      </c>
      <c r="F1459" t="inlineStr">
        <is>
          <t>ESPORTES</t>
        </is>
      </c>
      <c r="G1459" t="inlineStr">
        <is>
          <t>AGÊNCIA BRASIL</t>
        </is>
      </c>
      <c r="H1459" t="inlineStr">
        <is>
          <t>ARGENTINA VENCE VENEZUELA E ENFRENTA BRASIL NA SEMIFINAL DA COPA AMÉRICA</t>
        </is>
      </c>
      <c r="I1459" t="inlineStr">
        <is>
          <t>CLÁSSICO SUL-AMERICANO ACONTECE NA PRÓXIMA TERÇA (2), NO ESTÁDIO DO MINEIRÃO. MESSI ESTEVE EM TARDE DISCRETA</t>
        </is>
      </c>
      <c r="J1459">
        <f>HYPERLINK("https://www.acritica.com/esportes/argentina-vence-venezuela-e-enfrenta-brasil-na-semifinal-da-copa-america-1.66600", "URL")</f>
        <v/>
      </c>
      <c r="K1459">
        <f>HYPERLINK("https://raw.githubusercontent.com/marcosmapl/dataset_imigrantes/main/noticias_filtered/a_critica/venezuelanos/2019/05_jun/html/1.66600_495.html", "HTML")</f>
        <v/>
      </c>
      <c r="L1459">
        <f>HYPERLINK("https://raw.githubusercontent.com/marcosmapl/dataset_imigrantes/main/noticias_filtered/a_critica/venezuelanos/2019/05_jun/txt/1.66600_495.txt", "TXT")</f>
        <v/>
      </c>
    </row>
    <row r="1460">
      <c r="A1460" s="1" t="n">
        <v>1458</v>
      </c>
      <c r="B1460" t="n">
        <v>2019</v>
      </c>
      <c r="C1460" s="2" t="n">
        <v>43644.42284722222</v>
      </c>
      <c r="D1460" t="inlineStr">
        <is>
          <t>A CRITICA</t>
        </is>
      </c>
      <c r="E1460" t="inlineStr">
        <is>
          <t>VENEZUELANOS</t>
        </is>
      </c>
      <c r="F1460" t="inlineStr">
        <is>
          <t>ESPORTES</t>
        </is>
      </c>
      <c r="G1460" t="inlineStr">
        <is>
          <t>GABRIEL FERREIRA</t>
        </is>
      </c>
      <c r="H1460" t="inlineStr">
        <is>
          <t>IRANDUBA PERDE MAIS TRÊS ATLETAS PARA A SÉRIE A1 DO BRASILEIRO FEMININO</t>
        </is>
      </c>
      <c r="I1460" t="inlineStr">
        <is>
          <t>PERDAS JÁ CHEGAM A CINCO. AS JOGADORAS QUE DEIXARAM O CLUBE ATÉ O MOMENTO FORAM ANDRESSINHA, MAYARA, YORELI RINCON, JAYLLIS OLIVEROS E KARLA TORRES</t>
        </is>
      </c>
      <c r="J1460">
        <f>HYPERLINK("https://www.acritica.com/esportes/iranduba-perde-mais-tres-atletas-para-a-serie-a1-do-brasileiro-feminino-1.66709", "URL")</f>
        <v/>
      </c>
      <c r="K1460">
        <f>HYPERLINK("https://raw.githubusercontent.com/marcosmapl/dataset_imigrantes/main/noticias_filtered/a_critica/venezuelanos/2019/05_jun/html/1.66709_1038.html", "HTML")</f>
        <v/>
      </c>
      <c r="L1460">
        <f>HYPERLINK("https://raw.githubusercontent.com/marcosmapl/dataset_imigrantes/main/noticias_filtered/a_critica/venezuelanos/2019/05_jun/txt/1.66709_1038.txt", "TXT")</f>
        <v/>
      </c>
    </row>
    <row r="1461">
      <c r="A1461" s="1" t="n">
        <v>1459</v>
      </c>
      <c r="B1461" t="n">
        <v>2019</v>
      </c>
      <c r="C1461" s="2" t="n">
        <v>43643.80684226852</v>
      </c>
      <c r="D1461" t="inlineStr">
        <is>
          <t>G1</t>
        </is>
      </c>
      <c r="E1461" t="inlineStr">
        <is>
          <t>VENEZUELANOS</t>
        </is>
      </c>
      <c r="F1461" t="inlineStr">
        <is>
          <t>PIAUÍ</t>
        </is>
      </c>
      <c r="G1461" t="inlineStr">
        <is>
          <t>PITV 1</t>
        </is>
      </c>
      <c r="H1461" t="inlineStr">
        <is>
          <t>ÓRGÃOS ALERTAM VENEZUELANOS SOBRE PROIBIÇÃO DE MENDICÂNCIA COM CRIANÇAS EM TERESINA</t>
        </is>
      </c>
      <c r="I1461" t="inlineStr">
        <is>
          <t>CONSELHEIROS TUTELARES E ASSISTENTES SOCIAIS FORAM ÀS RUAS DE TERESINA, NESTA QUINTA-FEIRA (27), FAZER UM TRABALHO EDUCATIVO JUNTO AOS REFUGIADOS.</t>
        </is>
      </c>
      <c r="J1461">
        <f>HYPERLINK("https://g1.globo.com/pi/piaui/noticia/2019/06/27/orgaos-alertam-venezuelanos-sobre-proibicao-de-mendicancia-com-criancas-em-teresina.ghtml", "URL")</f>
        <v/>
      </c>
      <c r="K1461">
        <f>HYPERLINK("https://raw.githubusercontent.com/marcosmapl/dataset_imigrantes/main/noticias_filtered/g1/venezuelanos/2019/05_jun/html/g1_176268b0-230b-11ed-b24f-6dbe51e79fca_2543.html", "HTML")</f>
        <v/>
      </c>
      <c r="L1461">
        <f>HYPERLINK("https://raw.githubusercontent.com/marcosmapl/dataset_imigrantes/main/noticias_filtered/g1/venezuelanos/2019/05_jun/txt/g1_176268b0-230b-11ed-b24f-6dbe51e79fca_2543.txt", "TXT")</f>
        <v/>
      </c>
    </row>
    <row r="1462">
      <c r="A1462" s="1" t="n">
        <v>1460</v>
      </c>
      <c r="B1462" t="n">
        <v>2019</v>
      </c>
      <c r="C1462" s="2" t="n">
        <v>43643.50252314815</v>
      </c>
      <c r="D1462" t="inlineStr">
        <is>
          <t>A CRITICA</t>
        </is>
      </c>
      <c r="E1462" t="inlineStr">
        <is>
          <t>VENEZUELANOS</t>
        </is>
      </c>
      <c r="F1462" t="inlineStr"/>
      <c r="G1462" t="inlineStr">
        <is>
          <t>AGÊNCIA BRASIL</t>
        </is>
      </c>
      <c r="H1462" t="inlineStr">
        <is>
          <t>MADURO PROMETE SER 'IMPLACÁVEL' COM TENTATIVA DE GOLPE DE ESTADO</t>
        </is>
      </c>
      <c r="I1462" t="inlineStr">
        <is>
          <t>MADURO INFORMOU QUE AS AUTORIDADES ESTÃO BUSCANDO MILITARES ATIVOS E APOSENTADOS, POLÍCIAS E FUNCIONÁRIOS CIVIS ENVOLVIDOS NO ALEGADO GOLPE</t>
        </is>
      </c>
      <c r="J1462">
        <f>HYPERLINK("https://www.acritica.com/maduro-promete-ser-implacavel-com-tentativa-de-golpe-de-estado-1.66799", "URL")</f>
        <v/>
      </c>
      <c r="K1462">
        <f>HYPERLINK("https://raw.githubusercontent.com/marcosmapl/dataset_imigrantes/main/noticias_filtered/a_critica/venezuelanos/2019/05_jun/html/1.66799_753.html", "HTML")</f>
        <v/>
      </c>
      <c r="L1462">
        <f>HYPERLINK("https://raw.githubusercontent.com/marcosmapl/dataset_imigrantes/main/noticias_filtered/a_critica/venezuelanos/2019/05_jun/txt/1.66799_753.txt", "TXT")</f>
        <v/>
      </c>
    </row>
    <row r="1463">
      <c r="A1463" s="1" t="n">
        <v>1461</v>
      </c>
      <c r="B1463" t="n">
        <v>2019</v>
      </c>
      <c r="C1463" s="2" t="n">
        <v>43643.48317561342</v>
      </c>
      <c r="D1463" t="inlineStr">
        <is>
          <t>G1</t>
        </is>
      </c>
      <c r="E1463" t="inlineStr">
        <is>
          <t>HAITIANOS</t>
        </is>
      </c>
      <c r="F1463" t="inlineStr">
        <is>
          <t>SANTA CATARINA</t>
        </is>
      </c>
      <c r="G1463" t="inlineStr">
        <is>
          <t>G1 SC</t>
        </is>
      </c>
      <c r="H1463" t="inlineStr">
        <is>
          <t>CORPO DE HAITIANO QUE MORREU APÓS SER ATROPELADO NA BR-101 SERÁ CREMADO NA GRANDE FLORIANÓPOLIS</t>
        </is>
      </c>
      <c r="I1463" t="inlineStr">
        <is>
          <t>UMA CERIMÔNIA DE DESPEDIDA SERÁ REALIZADA EM UMA FUNERÁRIA NO BAIRRO ITACORUBI, EM FLORIANÓPOLIS.</t>
        </is>
      </c>
      <c r="J1463">
        <f>HYPERLINK("https://g1.globo.com/sc/santa-catarina/noticia/2019/06/27/corpo-de-haitiano-que-morreu-apos-ser-atropelado-na-br-101-sera-cremado-na-grande-florianopolis.ghtml", "URL")</f>
        <v/>
      </c>
      <c r="K1463">
        <f>HYPERLINK("https://raw.githubusercontent.com/marcosmapl/dataset_imigrantes/main/noticias_filtered/g1/haitianos/2019/05_jun/html/g1_41eb7f2a-22f4-11ed-b24f-6dbe51e79fca_1880.html", "HTML")</f>
        <v/>
      </c>
      <c r="L1463">
        <f>HYPERLINK("https://raw.githubusercontent.com/marcosmapl/dataset_imigrantes/main/noticias_filtered/g1/haitianos/2019/05_jun/txt/g1_41eb7f2a-22f4-11ed-b24f-6dbe51e79fca_1880.txt", "TXT")</f>
        <v/>
      </c>
    </row>
    <row r="1464">
      <c r="A1464" s="1" t="n">
        <v>1462</v>
      </c>
      <c r="B1464" t="n">
        <v>2019</v>
      </c>
      <c r="C1464" s="2" t="n">
        <v>43642.97625487269</v>
      </c>
      <c r="D1464" t="inlineStr">
        <is>
          <t>G1</t>
        </is>
      </c>
      <c r="E1464" t="inlineStr">
        <is>
          <t>AMBOS</t>
        </is>
      </c>
      <c r="F1464" t="inlineStr">
        <is>
          <t>MATO GROSSO</t>
        </is>
      </c>
      <c r="G1464" t="inlineStr">
        <is>
          <t>G1MT</t>
        </is>
      </c>
      <c r="H1464" t="inlineStr">
        <is>
          <t>MAIS DE 5 MIL HAITIANOS PASSARAM POR MT DESDE 2012; CERCA DE 4 MIL AINDA VIVEM NO ESTADO, SEGUNDO PASTORAL</t>
        </is>
      </c>
      <c r="I1464" t="inlineStr">
        <is>
          <t>ENTRE 2018 E 2019, O ESTADO JÁ ACOLHEU MAIS DE 700 VENEZUELANOS.</t>
        </is>
      </c>
      <c r="J1464">
        <f>HYPERLINK("https://g1.globo.com/mt/mato-grosso/noticia/2019/06/26/mais-de-5-mil-haitianos-passaram-por-mt-desde-2012-cerca-de-4-mil-ainda-vivem-no-estado-segundo-pastoral.ghtml", "URL")</f>
        <v/>
      </c>
      <c r="K1464">
        <f>HYPERLINK("https://raw.githubusercontent.com/marcosmapl/dataset_imigrantes/main/noticias_filtered/g1/ambos/2019/05_jun/html/g1_34d0b534-22f5-11ed-b24f-6dbe51e79fca_1936.html", "HTML")</f>
        <v/>
      </c>
      <c r="L1464">
        <f>HYPERLINK("https://raw.githubusercontent.com/marcosmapl/dataset_imigrantes/main/noticias_filtered/g1/ambos/2019/05_jun/txt/g1_34d0b534-22f5-11ed-b24f-6dbe51e79fca_1936.txt", "TXT")</f>
        <v/>
      </c>
    </row>
    <row r="1465">
      <c r="A1465" s="1" t="n">
        <v>1463</v>
      </c>
      <c r="B1465" t="n">
        <v>2019</v>
      </c>
      <c r="C1465" s="2" t="n">
        <v>43642.89237869213</v>
      </c>
      <c r="D1465" t="inlineStr">
        <is>
          <t>G1</t>
        </is>
      </c>
      <c r="E1465" t="inlineStr">
        <is>
          <t>VENEZUELANOS</t>
        </is>
      </c>
      <c r="F1465" t="inlineStr">
        <is>
          <t>MUNDO</t>
        </is>
      </c>
      <c r="G1465" t="inlineStr">
        <is>
          <t>FRANCE PRESSE</t>
        </is>
      </c>
      <c r="H1465" t="inlineStr">
        <is>
          <t>GOVERNO VENEZUELANO DIZ TER FRUSTRADO GOLPE, ORQUESTRADO POR EUA, COLÔMBIA E CHILE</t>
        </is>
      </c>
      <c r="I1465" t="inlineStr">
        <is>
          <t>MINISTRO DA COMUNICAÇÃO DIZ QUE PLANO INCLUÍA ASSASSINATO DE NICOLÁS MADURO E PROCLAMAÇÃO DO GENERAL DA RESERVA RAUL BADUEL COMO CHEFE DE ESTADO. SEIS PESSOAS FORAM DETIDAS; AUTORIDADES AFIRMAM QUE INFILTRADOS PARTICIPARAM DE REUNIÕES DE PLANEJAMENTO.</t>
        </is>
      </c>
      <c r="J1465">
        <f>HYPERLINK("https://g1.globo.com/mundo/noticia/2019/06/26/governo-venezuelano-diz-ter-frustrado-golpe-orquestrado-por-eua-colombia-e-chile.ghtml", "URL")</f>
        <v/>
      </c>
      <c r="K1465">
        <f>HYPERLINK("https://raw.githubusercontent.com/marcosmapl/dataset_imigrantes/main/noticias_filtered/g1/venezuelanos/2019/05_jun/html/g1_e8e353c8-230a-11ed-b24f-6dbe51e79fca_2534.html", "HTML")</f>
        <v/>
      </c>
      <c r="L1465">
        <f>HYPERLINK("https://raw.githubusercontent.com/marcosmapl/dataset_imigrantes/main/noticias_filtered/g1/venezuelanos/2019/05_jun/txt/g1_e8e353c8-230a-11ed-b24f-6dbe51e79fca_2534.txt", "TXT")</f>
        <v/>
      </c>
    </row>
    <row r="1466">
      <c r="A1466" s="1" t="n">
        <v>1464</v>
      </c>
      <c r="B1466" t="n">
        <v>2019</v>
      </c>
      <c r="C1466" s="2" t="n">
        <v>43642.62347568287</v>
      </c>
      <c r="D1466" t="inlineStr">
        <is>
          <t>G1</t>
        </is>
      </c>
      <c r="E1466" t="inlineStr">
        <is>
          <t>HAITIANOS</t>
        </is>
      </c>
      <c r="F1466" t="inlineStr">
        <is>
          <t>SANTA CATARINA</t>
        </is>
      </c>
      <c r="G1466" t="inlineStr">
        <is>
          <t>G1 SC</t>
        </is>
      </c>
      <c r="H1466" t="inlineStr">
        <is>
          <t>IMIGRANTES FAZEM ATO NO CENTRO DE FLORIANÓPOLIS E PEDEM JUSTIÇA PELA MORTE DE HAITIANO</t>
        </is>
      </c>
      <c r="I1466" t="inlineStr">
        <is>
          <t>GRUPO SE REUNIU NA TERÇA-FEIRA PARA LEMBRAR A SEMANA DO IMIGRANTE E PEDIR RESPOSTAS NO CASO DE MORTE DE KERBY TINGUE.</t>
        </is>
      </c>
      <c r="J1466">
        <f>HYPERLINK("https://g1.globo.com/sc/santa-catarina/noticia/2019/06/26/imigrantes-fazem-ato-no-centro-de-florianopolis-e-pedem-justica-pela-morte-de-haitiano.ghtml", "URL")</f>
        <v/>
      </c>
      <c r="K1466">
        <f>HYPERLINK("https://raw.githubusercontent.com/marcosmapl/dataset_imigrantes/main/noticias_filtered/g1/haitianos/2019/05_jun/html/g1_c4c685aa-22f6-11ed-b24f-6dbe51e79fca_2036.html", "HTML")</f>
        <v/>
      </c>
      <c r="L1466">
        <f>HYPERLINK("https://raw.githubusercontent.com/marcosmapl/dataset_imigrantes/main/noticias_filtered/g1/haitianos/2019/05_jun/txt/g1_c4c685aa-22f6-11ed-b24f-6dbe51e79fca_2036.txt", "TXT")</f>
        <v/>
      </c>
    </row>
    <row r="1467">
      <c r="A1467" s="1" t="n">
        <v>1465</v>
      </c>
      <c r="B1467" t="n">
        <v>2019</v>
      </c>
      <c r="C1467" s="2" t="n">
        <v>43642.54974148148</v>
      </c>
      <c r="D1467" t="inlineStr">
        <is>
          <t>G1</t>
        </is>
      </c>
      <c r="E1467" t="inlineStr">
        <is>
          <t>HAITIANOS</t>
        </is>
      </c>
      <c r="F1467" t="inlineStr">
        <is>
          <t>SANTA CATARINA</t>
        </is>
      </c>
      <c r="G1467" t="inlineStr">
        <is>
          <t>G1 SC</t>
        </is>
      </c>
      <c r="H1467" t="inlineStr">
        <is>
          <t>MOTOCICLISTA HAITIANO DE 24 ANOS MORRE EM ACIDENTE NA BR-101 EM ITAJAÍ</t>
        </is>
      </c>
      <c r="I1467" t="inlineStr">
        <is>
          <t>COLISÃO SEGUIDA DE ATROPELAMENTO OCORREU NA MANHÃ DESTA QUARTA-FEIRA.</t>
        </is>
      </c>
      <c r="J1467">
        <f>HYPERLINK("https://g1.globo.com/sc/santa-catarina/noticia/2019/06/26/motociclista-haitiano-de-24-anos-morre-em-acidente-na-br-101-em-itajai.ghtml", "URL")</f>
        <v/>
      </c>
      <c r="K1467">
        <f>HYPERLINK("https://raw.githubusercontent.com/marcosmapl/dataset_imigrantes/main/noticias_filtered/g1/haitianos/2019/05_jun/html/g1_95ac3f80-22f1-11ed-b24f-6dbe51e79fca_1756.html", "HTML")</f>
        <v/>
      </c>
      <c r="L1467">
        <f>HYPERLINK("https://raw.githubusercontent.com/marcosmapl/dataset_imigrantes/main/noticias_filtered/g1/haitianos/2019/05_jun/txt/g1_95ac3f80-22f1-11ed-b24f-6dbe51e79fca_1756.txt", "TXT")</f>
        <v/>
      </c>
    </row>
    <row r="1468">
      <c r="A1468" s="1" t="n">
        <v>1466</v>
      </c>
      <c r="B1468" t="n">
        <v>2019</v>
      </c>
      <c r="C1468" s="2" t="n">
        <v>43642.49066700231</v>
      </c>
      <c r="D1468" t="inlineStr">
        <is>
          <t>G1</t>
        </is>
      </c>
      <c r="E1468" t="inlineStr">
        <is>
          <t>VENEZUELANOS</t>
        </is>
      </c>
      <c r="F1468" t="inlineStr">
        <is>
          <t>PARAÍBA</t>
        </is>
      </c>
      <c r="G1468" t="inlineStr">
        <is>
          <t>G1 PB</t>
        </is>
      </c>
      <c r="H1468" t="inlineStr">
        <is>
          <t>VENEZUELANA DIAGNOSTICADA COM MALÁRIA RECEBE TRATAMENTO, EM JOÃO PESSOA</t>
        </is>
      </c>
      <c r="I1468" t="inlineStr">
        <is>
          <t>MULHER DE 51 ANOS CHEGOU NO BRASIL NO DIA 1º DE JUNHO. EM JOÃO PESSOA, ELA ESTÁ DESDE SEGUNDA-FEIRA (24).</t>
        </is>
      </c>
      <c r="J1468">
        <f>HYPERLINK("https://g1.globo.com/pb/paraiba/noticia/2019/06/26/paraiba-tem-13o-caso-de-malaria-diagnosticado-em-venezuelana.ghtml", "URL")</f>
        <v/>
      </c>
      <c r="K1468">
        <f>HYPERLINK("https://raw.githubusercontent.com/marcosmapl/dataset_imigrantes/main/noticias_filtered/g1/venezuelanos/2019/05_jun/html/g1_65685f96-230c-11ed-b24f-6dbe51e79fca_2622.html", "HTML")</f>
        <v/>
      </c>
      <c r="L1468">
        <f>HYPERLINK("https://raw.githubusercontent.com/marcosmapl/dataset_imigrantes/main/noticias_filtered/g1/venezuelanos/2019/05_jun/txt/g1_65685f96-230c-11ed-b24f-6dbe51e79fca_2622.txt", "TXT")</f>
        <v/>
      </c>
    </row>
    <row r="1469">
      <c r="A1469" s="1" t="n">
        <v>1467</v>
      </c>
      <c r="B1469" t="n">
        <v>2019</v>
      </c>
      <c r="C1469" s="2" t="n">
        <v>43641.54118851852</v>
      </c>
      <c r="D1469" t="inlineStr">
        <is>
          <t>G1</t>
        </is>
      </c>
      <c r="E1469" t="inlineStr">
        <is>
          <t>VENEZUELANOS</t>
        </is>
      </c>
      <c r="F1469" t="inlineStr">
        <is>
          <t>RORAIMA</t>
        </is>
      </c>
      <c r="G1469" t="inlineStr">
        <is>
          <t>FABRÍCIO ARAÚJO, G1 RR — BOA VISTA</t>
        </is>
      </c>
      <c r="H1469" t="inlineStr">
        <is>
          <t>VENEZUELANOS EMPREENDEM PARA RECOMEÇAR A VIDA EM RORAIMA</t>
        </is>
      </c>
      <c r="I1469" t="inlineStr">
        <is>
          <t>EM TRÊS ANOS, MAIS DE 180 VENEZUELANOS SE REGISTRARAM COMO MICROEMPREENDEDORES EM RORAIMA. NESTA TERÇA (25), DIA DO IMIGRANTE, G1 CONTA A HISTÓRIAS DE DOIS VENEZUELANOS QUE MONTARAM SEU PRÓPRIO NEGÓCIO NO BRASIL.</t>
        </is>
      </c>
      <c r="J1469">
        <f>HYPERLINK("https://g1.globo.com/rr/roraima/noticia/2019/06/25/venezuelanos-empreendem-para-recomecar-a-vida-em-roraima.ghtml", "URL")</f>
        <v/>
      </c>
      <c r="K1469">
        <f>HYPERLINK("https://raw.githubusercontent.com/marcosmapl/dataset_imigrantes/main/noticias_filtered/g1/venezuelanos/2019/05_jun/html/g1_bb733d46-2313-11ed-b24f-6dbe51e79fca_3022.html", "HTML")</f>
        <v/>
      </c>
      <c r="L1469">
        <f>HYPERLINK("https://raw.githubusercontent.com/marcosmapl/dataset_imigrantes/main/noticias_filtered/g1/venezuelanos/2019/05_jun/txt/g1_bb733d46-2313-11ed-b24f-6dbe51e79fca_3022.txt", "TXT")</f>
        <v/>
      </c>
    </row>
    <row r="1470">
      <c r="A1470" s="1" t="n">
        <v>1468</v>
      </c>
      <c r="B1470" t="n">
        <v>2019</v>
      </c>
      <c r="C1470" s="2" t="n">
        <v>43640.69601820602</v>
      </c>
      <c r="D1470" t="inlineStr">
        <is>
          <t>G1</t>
        </is>
      </c>
      <c r="E1470" t="inlineStr">
        <is>
          <t>VENEZUELANOS</t>
        </is>
      </c>
      <c r="F1470" t="inlineStr">
        <is>
          <t>PIAUÍ</t>
        </is>
      </c>
      <c r="G1470" t="inlineStr">
        <is>
          <t>PI TV 1</t>
        </is>
      </c>
      <c r="H1470" t="inlineStr">
        <is>
          <t>PREFEITURA DE TERESINA LEVARÁ PARA ABRIGOS CRIANÇAS VENEZUELANAS QUE ESTIVEREM PEDINDO DINHEIRO</t>
        </is>
      </c>
      <c r="I1470" t="inlineStr">
        <is>
          <t>DE ACORDO COM O ESTATUTO DA CRIANÇA E DO ADOLESCENTE (ECA), É PROIBIDO EXPOR A CRIANÇA A RISCOS E CONSTRANGIMENTO, MAS EM TERESINA ESSA CENA TEM SE REPETIDO NOS SEMÁFOROS COM REFUGIADOS VENEZUELANOS.</t>
        </is>
      </c>
      <c r="J1470">
        <f>HYPERLINK("https://g1.globo.com/pi/piaui/noticia/2019/06/24/prefeitura-de-teresina-levara-para-abrigos-criancas-venezuelanas-que-estiverem-pedindo-dinheiro.ghtml", "URL")</f>
        <v/>
      </c>
      <c r="K1470">
        <f>HYPERLINK("https://raw.githubusercontent.com/marcosmapl/dataset_imigrantes/main/noticias_filtered/g1/venezuelanos/2019/05_jun/html/g1_a31e960a-232c-11ed-b24f-6dbe51e79fca_4319.html", "HTML")</f>
        <v/>
      </c>
      <c r="L1470">
        <f>HYPERLINK("https://raw.githubusercontent.com/marcosmapl/dataset_imigrantes/main/noticias_filtered/g1/venezuelanos/2019/05_jun/txt/g1_a31e960a-232c-11ed-b24f-6dbe51e79fca_4319.txt", "TXT")</f>
        <v/>
      </c>
    </row>
    <row r="1471">
      <c r="A1471" s="1" t="n">
        <v>1469</v>
      </c>
      <c r="B1471" t="n">
        <v>2019</v>
      </c>
      <c r="C1471" s="2" t="n">
        <v>43640.56964120371</v>
      </c>
      <c r="D1471" t="inlineStr">
        <is>
          <t>A CRITICA</t>
        </is>
      </c>
      <c r="E1471" t="inlineStr">
        <is>
          <t>VENEZUELANOS</t>
        </is>
      </c>
      <c r="F1471" t="inlineStr">
        <is>
          <t>MANAUS</t>
        </is>
      </c>
      <c r="G1471" t="inlineStr">
        <is>
          <t>PORTAL A CRÍTICA</t>
        </is>
      </c>
      <c r="H1471" t="inlineStr">
        <is>
          <t>HERÓIS DE FARDA, POLICIAIS E BOMBEIROS AJUDAM ATÉ EM NASCIMENTO DE BEBÊS</t>
        </is>
      </c>
      <c r="I1471" t="inlineStr">
        <is>
          <t>ATÉ ABRIL, OS SERVIDORES DA PM E DOS BOMBEIROS AJUDARAM A TRAZER AO MUNDO SETE CRIANÇAS, NA CAPITAL E INTERIOR DO AMAZONAS</t>
        </is>
      </c>
      <c r="J1471">
        <f>HYPERLINK("https://www.acritica.com/manaus/herois-de-farda-policiais-e-bombeiros-ajudam-ate-em-nascimento-de-bebes-1.69372", "URL")</f>
        <v/>
      </c>
      <c r="K1471">
        <f>HYPERLINK("https://raw.githubusercontent.com/marcosmapl/dataset_imigrantes/main/noticias_filtered/a_critica/venezuelanos/2019/05_jun/html/1.69372_111.html", "HTML")</f>
        <v/>
      </c>
      <c r="L1471">
        <f>HYPERLINK("https://raw.githubusercontent.com/marcosmapl/dataset_imigrantes/main/noticias_filtered/a_critica/venezuelanos/2019/05_jun/txt/1.69372_111.txt", "TXT")</f>
        <v/>
      </c>
    </row>
    <row r="1472">
      <c r="A1472" s="1" t="n">
        <v>1470</v>
      </c>
      <c r="B1472" t="n">
        <v>2019</v>
      </c>
      <c r="C1472" s="2" t="n">
        <v>43640.54652777778</v>
      </c>
      <c r="D1472" t="inlineStr">
        <is>
          <t>PORTAL AMAZONIA</t>
        </is>
      </c>
      <c r="E1472" t="inlineStr">
        <is>
          <t>VENEZUELANOS</t>
        </is>
      </c>
      <c r="F1472" t="inlineStr">
        <is>
          <t>CIDADES</t>
        </is>
      </c>
      <c r="G1472" t="inlineStr">
        <is>
          <t>REDAÇÃO</t>
        </is>
      </c>
      <c r="H1472" t="inlineStr">
        <is>
          <t>IBGE: POPULAÇÃO DE RORAIMA DEVE CHEGAR A QUASE 1 MILHÃO DE HABITANTES EM 2060</t>
        </is>
      </c>
      <c r="I1472" t="inlineStr">
        <is>
          <t>A POPULAÇÃO DE RORAIMA DEVE CHEGAR A QUASE 1 MILHÃO DE HABITANTES EM 2060, CONFORME A PROJEÇÃO POPULACIONAL 2018, DIVULGADA PELO INSTITUTO BRASILEIRO DE GEOGRAFIA E ESTATÍSTICA (IBGE). O ESTUDO TAMBÉM REVELA QUE ATÉ 2022 O ESTADO DEVERÁ RECEBER CERCA</t>
        </is>
      </c>
      <c r="J1472">
        <f>HYPERLINK("https://portalamazonia.com/noticias/cidades/ibge-populacao-de-roraima-deve-chegar-a-quase-1-milhao-de-habitantes-em-2060", "URL")</f>
        <v/>
      </c>
      <c r="K1472">
        <f>HYPERLINK("https://raw.githubusercontent.com/marcosmapl/dataset_imigrantes/main/noticias_filtered/portal_amazonia/venezuelanos/2019/05_jun/html/22545.22545_1415.html", "HTML")</f>
        <v/>
      </c>
      <c r="L1472">
        <f>HYPERLINK("https://raw.githubusercontent.com/marcosmapl/dataset_imigrantes/main/noticias_filtered/portal_amazonia/venezuelanos/2019/05_jun/txt/22545.22545_1415.txt", "TXT")</f>
        <v/>
      </c>
    </row>
    <row r="1473">
      <c r="A1473" s="1" t="n">
        <v>1471</v>
      </c>
      <c r="B1473" t="n">
        <v>2019</v>
      </c>
      <c r="C1473" s="2" t="n">
        <v>43640.47291666667</v>
      </c>
      <c r="D1473" t="inlineStr">
        <is>
          <t>PORTAL AMAZONIA</t>
        </is>
      </c>
      <c r="E1473" t="inlineStr">
        <is>
          <t>VENEZUELANOS</t>
        </is>
      </c>
      <c r="F1473" t="inlineStr">
        <is>
          <t>GASTRONOMIA</t>
        </is>
      </c>
      <c r="G1473" t="inlineStr">
        <is>
          <t>REDAÇÃO</t>
        </is>
      </c>
      <c r="H1473" t="inlineStr">
        <is>
          <t>&amp;#039;MAIOR PAÇOCA DO MUNDO&amp;#039; É SERVIDA DE GRAÇA E BATE NOVO RECORDE EM ARRAIAL DE BOA VISTA</t>
        </is>
      </c>
      <c r="I1473" t="inlineStr">
        <is>
          <t>UMA DAS IGUARIAS MAIS TRADICIONAIS DE BOA VISTA, CAPITAL DE RORAIMA, É A PAÇOCA, E A VALORIZAÇÃO DA MESMA É ENCARADA COM SERIEDADE PELA POPULAÇÃO. NO ÚLTIMO SÁBADO (22), A “MAIOR PAÇOCA DO MUNDO” BATEU MAIS UM RECORDE NO ARRAIAL BOA VISTA JUNINA DE 2</t>
        </is>
      </c>
      <c r="J1473">
        <f>HYPERLINK("https://portalamazonia.com/cultura/gastronomia/maior-pacoca-do-mundo-e-servida-de-graca-e-bate-novo-recorde-em-arraial-de-boa-vista", "URL")</f>
        <v/>
      </c>
      <c r="K1473">
        <f>HYPERLINK("https://raw.githubusercontent.com/marcosmapl/dataset_imigrantes/main/noticias_filtered/portal_amazonia/venezuelanos/2019/05_jun/html/22543.22543_1543.html", "HTML")</f>
        <v/>
      </c>
      <c r="L1473">
        <f>HYPERLINK("https://raw.githubusercontent.com/marcosmapl/dataset_imigrantes/main/noticias_filtered/portal_amazonia/venezuelanos/2019/05_jun/txt/22543.22543_1543.txt", "TXT")</f>
        <v/>
      </c>
    </row>
    <row r="1474">
      <c r="A1474" s="1" t="n">
        <v>1472</v>
      </c>
      <c r="B1474" t="n">
        <v>2019</v>
      </c>
      <c r="C1474" s="2" t="n">
        <v>43638.66050925926</v>
      </c>
      <c r="D1474" t="inlineStr">
        <is>
          <t>A CRITICA</t>
        </is>
      </c>
      <c r="E1474" t="inlineStr">
        <is>
          <t>VENEZUELANOS</t>
        </is>
      </c>
      <c r="F1474" t="inlineStr">
        <is>
          <t>MANAUS</t>
        </is>
      </c>
      <c r="G1474" t="inlineStr">
        <is>
          <t>PAULO ANDRÉ NUNES</t>
        </is>
      </c>
      <c r="H1474" t="inlineStr">
        <is>
          <t>VENEZUELANOS CELEBRAM ORIGENS COM CAMINHADA E EVENTO DE INTEGRAÇÃO</t>
        </is>
      </c>
      <c r="I1474" t="inlineStr">
        <is>
          <t>PARTE DA POPULAÇÃO ATUALMENTE ABRIGADA NA CIDADE TEVE A OPORTUNIDADE DE CELEBRAR SUAS ORIGENS E RESILIÊNCIA FRENTE AOS DESAFIOS DO DESLOCAMENTO FORÇADO</t>
        </is>
      </c>
      <c r="J1474">
        <f>HYPERLINK("https://www.acritica.com/manaus/venezuelanos-celebram-origens-com-caminhada-e-evento-de-integrac-o-1.69409", "URL")</f>
        <v/>
      </c>
      <c r="K1474">
        <f>HYPERLINK("https://raw.githubusercontent.com/marcosmapl/dataset_imigrantes/main/noticias_filtered/a_critica/venezuelanos/2019/05_jun/html/1.69409_929.html", "HTML")</f>
        <v/>
      </c>
      <c r="L1474">
        <f>HYPERLINK("https://raw.githubusercontent.com/marcosmapl/dataset_imigrantes/main/noticias_filtered/a_critica/venezuelanos/2019/05_jun/txt/1.69409_929.txt", "TXT")</f>
        <v/>
      </c>
    </row>
    <row r="1475">
      <c r="A1475" s="1" t="n">
        <v>1473</v>
      </c>
      <c r="B1475" t="n">
        <v>2019</v>
      </c>
      <c r="C1475" s="2" t="n">
        <v>43638.50251157407</v>
      </c>
      <c r="D1475" t="inlineStr">
        <is>
          <t>A CRITICA</t>
        </is>
      </c>
      <c r="E1475" t="inlineStr">
        <is>
          <t>VENEZUELANOS</t>
        </is>
      </c>
      <c r="F1475" t="inlineStr">
        <is>
          <t>ESPORTES</t>
        </is>
      </c>
      <c r="G1475" t="inlineStr">
        <is>
          <t>AGÊNCIA BRASIL</t>
        </is>
      </c>
      <c r="H1475" t="inlineStr">
        <is>
          <t>BRASIL DISPUTA, HOJE, COM PERU 1º LUGAR DO GRUPO A PELA COPA AMÉRICA</t>
        </is>
      </c>
      <c r="I1475" t="inlineStr">
        <is>
          <t>OS BRASILEIROS TÊM O MESMO NÚMERO DE PONTOS (4) QUE OS PERUANOS, MAS ESTÃO À FRENTE DEVIDO AO SALDO DE GOLS: TRÊS, UM A MAIS QUE O PERU.</t>
        </is>
      </c>
      <c r="J1475">
        <f>HYPERLINK("https://www.acritica.com/esportes/brasil-disputa-hoje-com-peru-1-lugar-do-grupo-a-pela-copa-america-1.69200", "URL")</f>
        <v/>
      </c>
      <c r="K1475">
        <f>HYPERLINK("https://raw.githubusercontent.com/marcosmapl/dataset_imigrantes/main/noticias_filtered/a_critica/venezuelanos/2019/05_jun/html/1.69200_1090.html", "HTML")</f>
        <v/>
      </c>
      <c r="L1475">
        <f>HYPERLINK("https://raw.githubusercontent.com/marcosmapl/dataset_imigrantes/main/noticias_filtered/a_critica/venezuelanos/2019/05_jun/txt/1.69200_1090.txt", "TXT")</f>
        <v/>
      </c>
    </row>
    <row r="1476">
      <c r="A1476" s="1" t="n">
        <v>1474</v>
      </c>
      <c r="B1476" t="n">
        <v>2019</v>
      </c>
      <c r="C1476" s="2" t="n">
        <v>43637.67258077546</v>
      </c>
      <c r="D1476" t="inlineStr">
        <is>
          <t>G1</t>
        </is>
      </c>
      <c r="E1476" t="inlineStr">
        <is>
          <t>VENEZUELANOS</t>
        </is>
      </c>
      <c r="F1476" t="inlineStr">
        <is>
          <t>RORAIMA</t>
        </is>
      </c>
      <c r="G1476" t="inlineStr">
        <is>
          <t>G1 RR</t>
        </is>
      </c>
      <c r="H1476" t="inlineStr">
        <is>
          <t>GRUPO DE IMIGRANTES PROMOVE FESTA TRADICIONAL VENEZUELANA EM BOA VISTA</t>
        </is>
      </c>
      <c r="I1476" t="inlineStr">
        <is>
          <t>FESTA OCORRE NESTE DOMINGO (23), NA CASA DA CAPOEIRA, NO PARQUE ANAUÁ. ENTRADA É GRATUITA.</t>
        </is>
      </c>
      <c r="J1476">
        <f>HYPERLINK("https://g1.globo.com/rr/roraima/noticia/2019/06/21/grupo-de-imigrantes-promove-festa-tradicional-venezuelana-em-boa-vista.ghtml", "URL")</f>
        <v/>
      </c>
      <c r="K1476">
        <f>HYPERLINK("https://raw.githubusercontent.com/marcosmapl/dataset_imigrantes/main/noticias_filtered/g1/venezuelanos/2019/05_jun/html/g1_a00b8544-230a-11ed-b24f-6dbe51e79fca_2516.html", "HTML")</f>
        <v/>
      </c>
      <c r="L1476">
        <f>HYPERLINK("https://raw.githubusercontent.com/marcosmapl/dataset_imigrantes/main/noticias_filtered/g1/venezuelanos/2019/05_jun/txt/g1_a00b8544-230a-11ed-b24f-6dbe51e79fca_2516.txt", "TXT")</f>
        <v/>
      </c>
    </row>
    <row r="1477">
      <c r="A1477" s="1" t="n">
        <v>1475</v>
      </c>
      <c r="B1477" t="n">
        <v>2019</v>
      </c>
      <c r="C1477" s="2" t="n">
        <v>43637.35416666666</v>
      </c>
      <c r="D1477" t="inlineStr">
        <is>
          <t>A CRITICA</t>
        </is>
      </c>
      <c r="E1477" t="inlineStr">
        <is>
          <t>VENEZUELANOS</t>
        </is>
      </c>
      <c r="F1477" t="inlineStr">
        <is>
          <t>MANAUS</t>
        </is>
      </c>
      <c r="G1477" t="inlineStr">
        <is>
          <t>DANIEL AMORIM</t>
        </is>
      </c>
      <c r="H1477" t="inlineStr">
        <is>
          <t>SERVIÇOS OFERECIDOS POR ENTIDADES AJUDAM REFUGIADOS E MIGRANTES EM MANAUS</t>
        </is>
      </c>
      <c r="I1477" t="inlineStr">
        <is>
          <t>EM BUSCA DE ESPERANÇA, REFUGIADOS E MIGRANTES ESTÃO PROCURANDO ATENDIMENTOS EM ENTIDADES. O DESEJO É RECOMEÇAR A VIDA LONGE DO PAÍS NATAL</t>
        </is>
      </c>
      <c r="J1477">
        <f>HYPERLINK("https://www.acritica.com/manaus/servicos-oferecidos-por-entidades-ajudam-refugiados-e-migrantes-em-manaus-1.69313", "URL")</f>
        <v/>
      </c>
      <c r="K1477">
        <f>HYPERLINK("https://raw.githubusercontent.com/marcosmapl/dataset_imigrantes/main/noticias_filtered/a_critica/venezuelanos/2019/05_jun/html/1.69313_74.html", "HTML")</f>
        <v/>
      </c>
      <c r="L1477">
        <f>HYPERLINK("https://raw.githubusercontent.com/marcosmapl/dataset_imigrantes/main/noticias_filtered/a_critica/venezuelanos/2019/05_jun/txt/1.69313_74.txt", "TXT")</f>
        <v/>
      </c>
    </row>
    <row r="1478">
      <c r="A1478" s="1" t="n">
        <v>1476</v>
      </c>
      <c r="B1478" t="n">
        <v>2019</v>
      </c>
      <c r="C1478" s="2" t="n">
        <v>43637.0109649537</v>
      </c>
      <c r="D1478" t="inlineStr">
        <is>
          <t>G1</t>
        </is>
      </c>
      <c r="E1478" t="inlineStr">
        <is>
          <t>AMBOS</t>
        </is>
      </c>
      <c r="F1478" t="inlineStr">
        <is>
          <t>OESTE E SUDOESTE</t>
        </is>
      </c>
      <c r="G1478" t="inlineStr">
        <is>
          <t>RAPHAELA POTTER, RPC FOZ DO IGUAÇU</t>
        </is>
      </c>
      <c r="H1478" t="inlineStr">
        <is>
          <t>VENEZUELANOS ENCONTRAM EM FOZ DO IGUAÇU UMA CHANCE DE RECOMEÇAR</t>
        </is>
      </c>
      <c r="I1478" t="inlineStr">
        <is>
          <t>JUNTO COM OS HAITIANOS, OS VENEZUELANOS SÃO OS ESTRANGEIROS QUE MAIS BUSCAM REFÚGIO NO PARANÁ; CONHEÇA ALGUMAS HISTÓRIAS. DIA MUNDIAL DO REFUGIADO É CELEBRADO NESTA QUINTA-FEIRA (20).</t>
        </is>
      </c>
      <c r="J1478">
        <f>HYPERLINK("https://g1.globo.com/pr/oeste-sudoeste/noticia/2019/06/20/venezuelanos-encontram-em-foz-do-iguacu-uma-chance-de-recomecar.ghtml", "URL")</f>
        <v/>
      </c>
      <c r="K1478">
        <f>HYPERLINK("https://raw.githubusercontent.com/marcosmapl/dataset_imigrantes/main/noticias_filtered/g1/ambos/2019/05_jun/html/g1_c77accf8-230e-11ed-b24f-6dbe51e79fca_2756.html", "HTML")</f>
        <v/>
      </c>
      <c r="L1478">
        <f>HYPERLINK("https://raw.githubusercontent.com/marcosmapl/dataset_imigrantes/main/noticias_filtered/g1/ambos/2019/05_jun/txt/g1_c77accf8-230e-11ed-b24f-6dbe51e79fca_2756.txt", "TXT")</f>
        <v/>
      </c>
    </row>
    <row r="1479">
      <c r="A1479" s="1" t="n">
        <v>1477</v>
      </c>
      <c r="B1479" t="n">
        <v>2019</v>
      </c>
      <c r="C1479" s="2" t="n">
        <v>43635.61585648148</v>
      </c>
      <c r="D1479" t="inlineStr">
        <is>
          <t>A CRITICA</t>
        </is>
      </c>
      <c r="E1479" t="inlineStr">
        <is>
          <t>VENEZUELANOS</t>
        </is>
      </c>
      <c r="F1479" t="inlineStr"/>
      <c r="G1479" t="inlineStr">
        <is>
          <t>REUTERS</t>
        </is>
      </c>
      <c r="H1479" t="inlineStr">
        <is>
          <t>71 MILHÕES DE PESSOAS MIGRARAM VÍTIMAS DE DESLOCAMENTOS FORÇADOS, DIZ ONU</t>
        </is>
      </c>
      <c r="I1479" t="inlineStr">
        <is>
          <t>O NÚMERO DOBROU NOS ÚLTIMOS 20 ANOS. CRISE ECONÔMICA, POLÍTICA E PERSEGUIÇÃO RELIGIOSA NOS PAÍSES DE ORIGEM ESTÁ POR TRÁS DO AUMENTO NO ÍNDICE</t>
        </is>
      </c>
      <c r="J1479">
        <f>HYPERLINK("https://www.acritica.com/71-milh-es-de-pessoas-migraram-vitimas-de-deslocamentos-forcados-diz-onu-1.69147", "URL")</f>
        <v/>
      </c>
      <c r="K1479">
        <f>HYPERLINK("https://raw.githubusercontent.com/marcosmapl/dataset_imigrantes/main/noticias_filtered/a_critica/venezuelanos/2019/05_jun/html/1.69147_962.html", "HTML")</f>
        <v/>
      </c>
      <c r="L1479">
        <f>HYPERLINK("https://raw.githubusercontent.com/marcosmapl/dataset_imigrantes/main/noticias_filtered/a_critica/venezuelanos/2019/05_jun/txt/1.69147_962.txt", "TXT")</f>
        <v/>
      </c>
    </row>
    <row r="1480">
      <c r="A1480" s="1" t="n">
        <v>1478</v>
      </c>
      <c r="B1480" t="n">
        <v>2019</v>
      </c>
      <c r="C1480" s="2" t="n">
        <v>43634.8249074074</v>
      </c>
      <c r="D1480" t="inlineStr">
        <is>
          <t>A CRITICA</t>
        </is>
      </c>
      <c r="E1480" t="inlineStr">
        <is>
          <t>VENEZUELANOS</t>
        </is>
      </c>
      <c r="F1480" t="inlineStr">
        <is>
          <t>MANAUS</t>
        </is>
      </c>
      <c r="G1480" t="inlineStr">
        <is>
          <t>PORTAL A CRÍTICA</t>
        </is>
      </c>
      <c r="H1480" t="inlineStr">
        <is>
          <t>VENEZUELANOS EM MANAUS CONCLUEM OFICINA DE ORIENTAÇÃO PARA O MUNDO DO TRABALHO</t>
        </is>
      </c>
      <c r="I1480" t="inlineStr">
        <is>
          <t>A INICIATIVA DESENVOLVIDA EM PARCEIRA ENTRE DIVERSOS ÓRGÃOS TEVE O OBJETIVO DE OFERECER QUALIFICAÇÃO AOS REFUGIADOS VENEZUELANOS EM MANAUS</t>
        </is>
      </c>
      <c r="J1480">
        <f>HYPERLINK("https://www.acritica.com/manaus/venezuelanos-em-manaus-concluem-oficina-de-orientac-o-para-o-mundo-do-trabalho-1.68936", "URL")</f>
        <v/>
      </c>
      <c r="K1480">
        <f>HYPERLINK("https://raw.githubusercontent.com/marcosmapl/dataset_imigrantes/main/noticias_filtered/a_critica/venezuelanos/2019/05_jun/html/1.68936_1249.html", "HTML")</f>
        <v/>
      </c>
      <c r="L1480">
        <f>HYPERLINK("https://raw.githubusercontent.com/marcosmapl/dataset_imigrantes/main/noticias_filtered/a_critica/venezuelanos/2019/05_jun/txt/1.68936_1249.txt", "TXT")</f>
        <v/>
      </c>
    </row>
    <row r="1481">
      <c r="A1481" s="1" t="n">
        <v>1479</v>
      </c>
      <c r="B1481" t="n">
        <v>2019</v>
      </c>
      <c r="C1481" s="2" t="n">
        <v>43634.61511961806</v>
      </c>
      <c r="D1481" t="inlineStr">
        <is>
          <t>G1</t>
        </is>
      </c>
      <c r="E1481" t="inlineStr">
        <is>
          <t>VENEZUELANOS</t>
        </is>
      </c>
      <c r="F1481" t="inlineStr">
        <is>
          <t>SANTARÉM E REGIÃO</t>
        </is>
      </c>
      <c r="G1481" t="inlineStr">
        <is>
          <t>G1 SANTARÉM — PARÁ</t>
        </is>
      </c>
      <c r="H1481" t="inlineStr">
        <is>
          <t>VENEZUELANOS GANHAM UM NOVO ESPAÇO PARA MORAR EM SANTARÉM</t>
        </is>
      </c>
      <c r="I1481" t="inlineStr">
        <is>
          <t>ELES DEIXARAM O ANTIGO PRÉDIO DE UMA ESCOLA E PASSAM A MORAR EM UMA CHÁCARA NO BAIRRO CAMBUQUIRA.</t>
        </is>
      </c>
      <c r="J1481">
        <f>HYPERLINK("https://g1.globo.com/pa/santarem-regiao/noticia/2019/06/18/venezuelanos-ganham-um-novo-espaco-para-morar-em-santarem.ghtml", "URL")</f>
        <v/>
      </c>
      <c r="K1481">
        <f>HYPERLINK("https://raw.githubusercontent.com/marcosmapl/dataset_imigrantes/main/noticias_filtered/g1/venezuelanos/2019/05_jun/html/g1_a825bdc8-2317-11ed-b24f-6dbe51e79fca_3222.html", "HTML")</f>
        <v/>
      </c>
      <c r="L1481">
        <f>HYPERLINK("https://raw.githubusercontent.com/marcosmapl/dataset_imigrantes/main/noticias_filtered/g1/venezuelanos/2019/05_jun/txt/g1_a825bdc8-2317-11ed-b24f-6dbe51e79fca_3222.txt", "TXT")</f>
        <v/>
      </c>
    </row>
    <row r="1482">
      <c r="A1482" s="1" t="n">
        <v>1480</v>
      </c>
      <c r="B1482" t="n">
        <v>2019</v>
      </c>
      <c r="C1482" s="2" t="n">
        <v>43633.92798611111</v>
      </c>
      <c r="D1482" t="inlineStr">
        <is>
          <t>A CRITICA</t>
        </is>
      </c>
      <c r="E1482" t="inlineStr">
        <is>
          <t>VENEZUELANOS</t>
        </is>
      </c>
      <c r="F1482" t="inlineStr"/>
      <c r="G1482" t="inlineStr">
        <is>
          <t>AGÊNCIA BRASIL</t>
        </is>
      </c>
      <c r="H1482" t="inlineStr">
        <is>
          <t>GOVERNO E ONU LANÇAM CARTILHA COM ORIENTAÇÕES A VENEZUELANOS NO BRASIL</t>
        </is>
      </c>
      <c r="I1482" t="inlineStr">
        <is>
          <t>O OBJETIVO DA CARTILHA É FACILITAR A ADAPTAÇÃO DE MILHARES DE VENEZUELANOS QUE VÊM CRUZANDO A FRONTEIRA EM RAZÃO DA SITUAÇÃO POLÍTICA E ECONÔMICA DO PAÍS VIZINHO</t>
        </is>
      </c>
      <c r="J1482">
        <f>HYPERLINK("https://www.acritica.com/governo-e-onu-lancam-cartilha-com-orientac-es-a-venezuelanos-no-brasil-1.68986", "URL")</f>
        <v/>
      </c>
      <c r="K1482">
        <f>HYPERLINK("https://raw.githubusercontent.com/marcosmapl/dataset_imigrantes/main/noticias_filtered/a_critica/venezuelanos/2019/05_jun/html/1.68986_757.html", "HTML")</f>
        <v/>
      </c>
      <c r="L1482">
        <f>HYPERLINK("https://raw.githubusercontent.com/marcosmapl/dataset_imigrantes/main/noticias_filtered/a_critica/venezuelanos/2019/05_jun/txt/1.68986_757.txt", "TXT")</f>
        <v/>
      </c>
    </row>
    <row r="1483">
      <c r="A1483" s="1" t="n">
        <v>1481</v>
      </c>
      <c r="B1483" t="n">
        <v>2019</v>
      </c>
      <c r="C1483" s="2" t="n">
        <v>43632.74375</v>
      </c>
      <c r="D1483" t="inlineStr">
        <is>
          <t>A CRITICA</t>
        </is>
      </c>
      <c r="E1483" t="inlineStr">
        <is>
          <t>VENEZUELANOS</t>
        </is>
      </c>
      <c r="F1483" t="inlineStr">
        <is>
          <t>MANAUS</t>
        </is>
      </c>
      <c r="G1483" t="inlineStr">
        <is>
          <t>IZABEL GUEDES</t>
        </is>
      </c>
      <c r="H1483" t="inlineStr">
        <is>
          <t>'REFUGIADOS': VENEZUELANOS RELATAM DIA A DIA NA ÁREA PRÓXIMA DA RODOVIÁRIA</t>
        </is>
      </c>
      <c r="I1483" t="inlineStr">
        <is>
          <t>LOCAL NO CORAÇÃO DE MANAUS ESTÁ OCUPADA POR CENTENAS DE VENEZUELANOS, QUE LÁ VIVEM DE FORMA PRECÁRIA</t>
        </is>
      </c>
      <c r="J1483">
        <f>HYPERLINK("https://www.acritica.com/manaus/refugiados-venezuelanos-relatam-dia-a-dia-na-area-proxima-da-rodoviaria-1.68805", "URL")</f>
        <v/>
      </c>
      <c r="K1483">
        <f>HYPERLINK("https://raw.githubusercontent.com/marcosmapl/dataset_imigrantes/main/noticias_filtered/a_critica/venezuelanos/2019/05_jun/html/1.68805_1353.html", "HTML")</f>
        <v/>
      </c>
      <c r="L1483">
        <f>HYPERLINK("https://raw.githubusercontent.com/marcosmapl/dataset_imigrantes/main/noticias_filtered/a_critica/venezuelanos/2019/05_jun/txt/1.68805_1353.txt", "TXT")</f>
        <v/>
      </c>
    </row>
    <row r="1484">
      <c r="A1484" s="1" t="n">
        <v>1482</v>
      </c>
      <c r="B1484" t="n">
        <v>2019</v>
      </c>
      <c r="C1484" s="2" t="n">
        <v>43632.66596731482</v>
      </c>
      <c r="D1484" t="inlineStr">
        <is>
          <t>G1</t>
        </is>
      </c>
      <c r="E1484" t="inlineStr">
        <is>
          <t>VENEZUELANOS</t>
        </is>
      </c>
      <c r="F1484" t="inlineStr">
        <is>
          <t>MUNDO</t>
        </is>
      </c>
      <c r="G1484" t="inlineStr">
        <is>
          <t>BBC</t>
        </is>
      </c>
      <c r="H1484" t="inlineStr">
        <is>
          <t>O DRAMA DE MILHARES DE BEBÊS SEM NACIONALIDADE FILHOS DE PAIS VENEZUELANOS</t>
        </is>
      </c>
      <c r="I1484" t="inlineStr">
        <is>
          <t>CERCA DE 20 MIL BEBÊS NASCIDOS NA COLÔMBIA DE PAIS VENEZUELANOS NÃO TÊM NENHUMA DAS DUAS NACIONALIDADES. ORGANIZAÇÕES INTERNACIONAIS APONTAM A SERIEDADE DO 'LIMBO JURÍDICO' EM QUE ESSES MENORES SE ENCONTRAM.</t>
        </is>
      </c>
      <c r="J1484">
        <f>HYPERLINK("https://g1.globo.com/mundo/noticia/2019/06/16/o-drama-de-milhares-de-bebes-sem-nacionalidade-filhos-de-pais-venezuelanos.ghtml", "URL")</f>
        <v/>
      </c>
      <c r="K1484">
        <f>HYPERLINK("https://raw.githubusercontent.com/marcosmapl/dataset_imigrantes/main/noticias_filtered/g1/venezuelanos/2019/05_jun/html/g1_12f2656a-2328-11ed-b24f-6dbe51e79fca_4063.html", "HTML")</f>
        <v/>
      </c>
      <c r="L1484">
        <f>HYPERLINK("https://raw.githubusercontent.com/marcosmapl/dataset_imigrantes/main/noticias_filtered/g1/venezuelanos/2019/05_jun/txt/g1_12f2656a-2328-11ed-b24f-6dbe51e79fca_4063.txt", "TXT")</f>
        <v/>
      </c>
    </row>
    <row r="1485">
      <c r="A1485" s="1" t="n">
        <v>1483</v>
      </c>
      <c r="B1485" t="n">
        <v>2019</v>
      </c>
      <c r="C1485" s="2" t="n">
        <v>43632.66308726852</v>
      </c>
      <c r="D1485" t="inlineStr">
        <is>
          <t>G1</t>
        </is>
      </c>
      <c r="E1485" t="inlineStr">
        <is>
          <t>VENEZUELANOS</t>
        </is>
      </c>
      <c r="F1485" t="inlineStr">
        <is>
          <t>MUNDO</t>
        </is>
      </c>
      <c r="G1485" t="inlineStr">
        <is>
          <t>BORIS MIRANDA, BBC — COLÔMBIA</t>
        </is>
      </c>
      <c r="H1485" t="inlineStr">
        <is>
          <t>O DRAMA DOS MILHARES DE BEBÊS SEM NACIONALIDADE FILHOS DE PAIS VENEZUELANOS</t>
        </is>
      </c>
      <c r="I1485" t="inlineStr">
        <is>
          <t>CERCA DE 20.000 BEBÊS NASCIDOS NA COLÔMBIA DE PAIS VENEZUELANOS NÃO TÊM NENHUMA DAS DUAS NACIONALIDADES. ORGANIZAÇÕES INTERNACIONAIS APONTAM A SERIEDADE DO "LIMBO JURÍDICO" EM QUE ESSES MENORES SE ENCONTRAM.</t>
        </is>
      </c>
      <c r="J1485">
        <f>HYPERLINK("https://g1.globo.com/mundo/noticia/2019/06/16/o-drama-dos-milhares-de-bebes-sem-nacionalidade-filhos-de-pais-venezuelanos.ghtml", "URL")</f>
        <v/>
      </c>
      <c r="K1485">
        <f>HYPERLINK("https://raw.githubusercontent.com/marcosmapl/dataset_imigrantes/main/noticias_filtered/g1/venezuelanos/2019/05_jun/html/g1_34f180c4-2314-11ed-b24f-6dbe51e79fca_3052.html", "HTML")</f>
        <v/>
      </c>
      <c r="L1485">
        <f>HYPERLINK("https://raw.githubusercontent.com/marcosmapl/dataset_imigrantes/main/noticias_filtered/g1/venezuelanos/2019/05_jun/txt/g1_34f180c4-2314-11ed-b24f-6dbe51e79fca_3052.txt", "TXT")</f>
        <v/>
      </c>
    </row>
    <row r="1486">
      <c r="A1486" s="1" t="n">
        <v>1484</v>
      </c>
      <c r="B1486" t="n">
        <v>2019</v>
      </c>
      <c r="C1486" s="2" t="n">
        <v>43631.01163050926</v>
      </c>
      <c r="D1486" t="inlineStr">
        <is>
          <t>G1</t>
        </is>
      </c>
      <c r="E1486" t="inlineStr">
        <is>
          <t>HAITIANOS</t>
        </is>
      </c>
      <c r="F1486" t="inlineStr">
        <is>
          <t>RORAIMA</t>
        </is>
      </c>
      <c r="G1486" t="inlineStr">
        <is>
          <t>G1 RR — BOA VISTA</t>
        </is>
      </c>
      <c r="H1486" t="inlineStr">
        <is>
          <t>BEBÊ NASCE EM AMBULÂNCIA DOS BOMBEIROS A CAMINHO DE MATERNIDADE EM BOA  VISTA</t>
        </is>
      </c>
      <c r="I1486" t="inlineStr">
        <is>
          <t>NO TRAJETO À MATERNIDADE, JOVEM SENTIU FORTES CONTRAÇÕES, BOMBEIROS PARARAM A AMBULÂNCIA E BEBÊ NASCEU APÓS 25 MINUTOS DE TRABALHO DE PARTO.</t>
        </is>
      </c>
      <c r="J1486">
        <f>HYPERLINK("https://g1.globo.com/rr/roraima/noticia/2019/06/14/bebe-nasce-em-ambulancia-dos-bombeiros-a-caminho-de-maternidade-em-boa-vista.ghtml", "URL")</f>
        <v/>
      </c>
      <c r="K1486">
        <f>HYPERLINK("https://raw.githubusercontent.com/marcosmapl/dataset_imigrantes/main/noticias_filtered/g1/haitianos/2019/05_jun/html/g1_22405fdc-232c-11ed-b24f-6dbe51e79fca_4287.html", "HTML")</f>
        <v/>
      </c>
      <c r="L1486">
        <f>HYPERLINK("https://raw.githubusercontent.com/marcosmapl/dataset_imigrantes/main/noticias_filtered/g1/haitianos/2019/05_jun/txt/g1_22405fdc-232c-11ed-b24f-6dbe51e79fca_4287.txt", "TXT")</f>
        <v/>
      </c>
    </row>
    <row r="1487">
      <c r="A1487" s="1" t="n">
        <v>1485</v>
      </c>
      <c r="B1487" t="n">
        <v>2019</v>
      </c>
      <c r="C1487" s="2" t="n">
        <v>43630.61875</v>
      </c>
      <c r="D1487" t="inlineStr">
        <is>
          <t>PORTAL AMAZONIA</t>
        </is>
      </c>
      <c r="E1487" t="inlineStr">
        <is>
          <t>VENEZUELANOS</t>
        </is>
      </c>
      <c r="F1487" t="inlineStr">
        <is>
          <t>CIDADES</t>
        </is>
      </c>
      <c r="G1487" t="inlineStr">
        <is>
          <t>REDAÇÃO</t>
        </is>
      </c>
      <c r="H1487" t="inlineStr">
        <is>
          <t>EM BELÉM, ÔNIBUS VOLTAM A CIRCULAR, MAS MANIFESTANTES EM PROL DA GREVE GERAL CONTINUAM OS PROTESTOS</t>
        </is>
      </c>
      <c r="I1487" t="inlineStr">
        <is>
          <t>DESDE AS PRIMEIRAS HORAS DESTA SEXTA-FEIRA (14), VÁRIOS GRUPOS SOCIAIS REALIZAM PROTESTOS EM BELÉM E REGIÃO METROPOLITANA. A AVENIDA ALMIRANTE BARROSO FOI BLOQUEADA EM ALGUNS PONTOS, DURANTE TODA A MANHÃ, E AGORA NO INÍCIO DA TARDE, MANIFESTANTES EST</t>
        </is>
      </c>
      <c r="J1487">
        <f>HYPERLINK("https://portalamazonia.com/noticias/cidades/em-belem-onibus-voltam-a-circular-mas-manifestantes-em-prol-da-greve-geral-continuam-os-protestos", "URL")</f>
        <v/>
      </c>
      <c r="K1487">
        <f>HYPERLINK("https://raw.githubusercontent.com/marcosmapl/dataset_imigrantes/main/noticias_filtered/portal_amazonia/venezuelanos/2019/05_jun/html/22472.22472_1585.html", "HTML")</f>
        <v/>
      </c>
      <c r="L1487">
        <f>HYPERLINK("https://raw.githubusercontent.com/marcosmapl/dataset_imigrantes/main/noticias_filtered/portal_amazonia/venezuelanos/2019/05_jun/txt/22472.22472_1585.txt", "TXT")</f>
        <v/>
      </c>
    </row>
    <row r="1488">
      <c r="A1488" s="1" t="n">
        <v>1486</v>
      </c>
      <c r="B1488" t="n">
        <v>2019</v>
      </c>
      <c r="C1488" s="2" t="n">
        <v>43628.885625</v>
      </c>
      <c r="D1488" t="inlineStr">
        <is>
          <t>A CRITICA</t>
        </is>
      </c>
      <c r="E1488" t="inlineStr">
        <is>
          <t>HAITIANOS</t>
        </is>
      </c>
      <c r="F1488" t="inlineStr">
        <is>
          <t>MANAUS</t>
        </is>
      </c>
      <c r="G1488" t="inlineStr">
        <is>
          <t>MARCOS LIMA</t>
        </is>
      </c>
      <c r="H1488" t="inlineStr">
        <is>
          <t>HAITIANO QUE MATOU ESPOSA LEVA TRÊS TIROS APÓS ATACAR POLICIAL EM DELEGACIA DE MANAUS</t>
        </is>
      </c>
      <c r="I1488" t="inlineStr">
        <is>
          <t>JEAN DIUENE GEDEON TENTOU TOMAR A ARMA DO POLICIAL CIVIL QUE IRIA LEVÁ-LO PARA AUDIÊNCIA DE CUSTÓDIA E O AGREDIU COM UM PEDAÇO DE MADEIRA</t>
        </is>
      </c>
      <c r="J1488">
        <f>HYPERLINK("https://www.acritica.com/manaus/haitiano-que-matou-esposa-leva-tres-tiros-apos-atacar-policial-em-delegacia-de-manaus-1.68782", "URL")</f>
        <v/>
      </c>
      <c r="K1488">
        <f>HYPERLINK("https://raw.githubusercontent.com/marcosmapl/dataset_imigrantes/main/noticias_filtered/a_critica/haitianos/2019/05_jun/html/1.68782_1301.html", "HTML")</f>
        <v/>
      </c>
      <c r="L1488">
        <f>HYPERLINK("https://raw.githubusercontent.com/marcosmapl/dataset_imigrantes/main/noticias_filtered/a_critica/haitianos/2019/05_jun/txt/1.68782_1301.txt", "TXT")</f>
        <v/>
      </c>
    </row>
    <row r="1489">
      <c r="A1489" s="1" t="n">
        <v>1487</v>
      </c>
      <c r="B1489" t="n">
        <v>2019</v>
      </c>
      <c r="C1489" s="2" t="n">
        <v>43627.95694444444</v>
      </c>
      <c r="D1489" t="inlineStr">
        <is>
          <t>A CRITICA</t>
        </is>
      </c>
      <c r="E1489" t="inlineStr">
        <is>
          <t>HAITIANOS</t>
        </is>
      </c>
      <c r="F1489" t="inlineStr">
        <is>
          <t>MANAUS</t>
        </is>
      </c>
      <c r="G1489" t="inlineStr">
        <is>
          <t>MARCOS LIMA</t>
        </is>
      </c>
      <c r="H1489" t="inlineStr">
        <is>
          <t>HAITIANO MATA ESPOSA ASFIXIADA EM MANAUS E É PRESO QUANDO SE PREPARAVA PARA FUGA</t>
        </is>
      </c>
      <c r="I1489" t="inlineStr">
        <is>
          <t>CRIME FOI MOTIVADO POR CIÚMES. HOMEM DEIXOU FILHA DO CASAL, DE 9 MESES, EM MATERNIDADE NA ZONA NORTE</t>
        </is>
      </c>
      <c r="J1489">
        <f>HYPERLINK("https://www.acritica.com/manaus/haitiano-mata-esposa-asfixiada-em-manaus-e-e-preso-quando-se-preparava-para-fuga-1.68597", "URL")</f>
        <v/>
      </c>
      <c r="K1489">
        <f>HYPERLINK("https://raw.githubusercontent.com/marcosmapl/dataset_imigrantes/main/noticias_filtered/a_critica/haitianos/2019/05_jun/html/1.68597_942.html", "HTML")</f>
        <v/>
      </c>
      <c r="L1489">
        <f>HYPERLINK("https://raw.githubusercontent.com/marcosmapl/dataset_imigrantes/main/noticias_filtered/a_critica/haitianos/2019/05_jun/txt/1.68597_942.txt", "TXT")</f>
        <v/>
      </c>
    </row>
    <row r="1490">
      <c r="A1490" s="1" t="n">
        <v>1488</v>
      </c>
      <c r="B1490" t="n">
        <v>2019</v>
      </c>
      <c r="C1490" s="2" t="n">
        <v>43627.75469989584</v>
      </c>
      <c r="D1490" t="inlineStr">
        <is>
          <t>G1</t>
        </is>
      </c>
      <c r="E1490" t="inlineStr">
        <is>
          <t>HAITIANOS</t>
        </is>
      </c>
      <c r="F1490" t="inlineStr">
        <is>
          <t>AMAZONAS</t>
        </is>
      </c>
      <c r="G1490" t="inlineStr">
        <is>
          <t>G1 AM</t>
        </is>
      </c>
      <c r="H1490" t="inlineStr">
        <is>
          <t>MULHER É ENCONTRADA MORTA DENTRO DE APARTAMENTO EM MANAUS; MARIDO É SUSPEITO</t>
        </is>
      </c>
      <c r="I1490" t="inlineStr">
        <is>
          <t>HOMEM FOI ENCONTRADO NA BARREIRA DA AM 10. A POLICIA ACREDITA QUE ESTARIA TENTANDO FUGIR.</t>
        </is>
      </c>
      <c r="J1490">
        <f>HYPERLINK("https://g1.globo.com/am/amazonas/noticia/2019/06/11/mulher-e-encontrada-morta-dentro-de-apartamento-em-manaus-marido-e-suspeito.ghtml", "URL")</f>
        <v/>
      </c>
      <c r="K1490">
        <f>HYPERLINK("https://raw.githubusercontent.com/marcosmapl/dataset_imigrantes/main/noticias_filtered/g1/haitianos/2019/05_jun/html/g1_7d47257c-22ec-11ed-b24f-6dbe51e79fca_1658.html", "HTML")</f>
        <v/>
      </c>
      <c r="L1490">
        <f>HYPERLINK("https://raw.githubusercontent.com/marcosmapl/dataset_imigrantes/main/noticias_filtered/g1/haitianos/2019/05_jun/txt/g1_7d47257c-22ec-11ed-b24f-6dbe51e79fca_1658.txt", "TXT")</f>
        <v/>
      </c>
    </row>
    <row r="1491">
      <c r="A1491" s="1" t="n">
        <v>1489</v>
      </c>
      <c r="B1491" t="n">
        <v>2019</v>
      </c>
      <c r="C1491" s="2" t="n">
        <v>43627.73520261574</v>
      </c>
      <c r="D1491" t="inlineStr">
        <is>
          <t>G1</t>
        </is>
      </c>
      <c r="E1491" t="inlineStr">
        <is>
          <t>VENEZUELANOS</t>
        </is>
      </c>
      <c r="F1491" t="inlineStr">
        <is>
          <t>ECONOMIA</t>
        </is>
      </c>
      <c r="G1491" t="inlineStr">
        <is>
          <t>FRANCE PRESSE</t>
        </is>
      </c>
      <c r="H1491" t="inlineStr">
        <is>
          <t>96% DAS EMPRESAS VENEZUELANAS PARALISARAM OU REDUZIRAM PRODUÇÃO, DIZ PESQUISA</t>
        </is>
      </c>
      <c r="I1491" t="inlineStr">
        <is>
          <t>EMPRESAS ATIVAS OPERAM, EM MÉDIA, COM ALGO EM TORNO DE 18% DE SUA CAPACIDADE.</t>
        </is>
      </c>
      <c r="J1491">
        <f>HYPERLINK("https://g1.globo.com/economia/noticia/2019/06/11/96percent-das-empresas-venezuelanas-paralisaram-ou-reduziram-producao-diz-pesquisa.ghtml", "URL")</f>
        <v/>
      </c>
      <c r="K1491">
        <f>HYPERLINK("https://raw.githubusercontent.com/marcosmapl/dataset_imigrantes/main/noticias_filtered/g1/venezuelanos/2019/05_jun/html/g1_f77d3c30-2311-11ed-b24f-6dbe51e79fca_2943.html", "HTML")</f>
        <v/>
      </c>
      <c r="L1491">
        <f>HYPERLINK("https://raw.githubusercontent.com/marcosmapl/dataset_imigrantes/main/noticias_filtered/g1/venezuelanos/2019/05_jun/txt/g1_f77d3c30-2311-11ed-b24f-6dbe51e79fca_2943.txt", "TXT")</f>
        <v/>
      </c>
    </row>
    <row r="1492">
      <c r="A1492" s="1" t="n">
        <v>1490</v>
      </c>
      <c r="B1492" t="n">
        <v>2019</v>
      </c>
      <c r="C1492" s="2" t="n">
        <v>43626.74596064815</v>
      </c>
      <c r="D1492" t="inlineStr">
        <is>
          <t>A CRITICA</t>
        </is>
      </c>
      <c r="E1492" t="inlineStr">
        <is>
          <t>VENEZUELANOS</t>
        </is>
      </c>
      <c r="F1492" t="inlineStr">
        <is>
          <t>ENTRETENIMENTO</t>
        </is>
      </c>
      <c r="G1492" t="inlineStr">
        <is>
          <t>PORTAL A CRÍTICA</t>
        </is>
      </c>
      <c r="H1492" t="inlineStr">
        <is>
          <t>TEATRO AMAZONAS RECEBE ESPETÁCULO 'MIQUÉIAS WILLIAM IN CONCERT'</t>
        </is>
      </c>
      <c r="I1492" t="inlineStr">
        <is>
          <t>SUCESSOS ROMÂNTICOS MUSICAIS COMO “CON TE PARTIRÓ”, “VIVO PER LEI”, “BABY CAN I HOLD YOU”, “PER AMORE”, DENTRE OUTRAS CANÇÕES SERÃO APRESENTADAS EM SOLOS E DUETOS DURANTE O ESPETÁCULO</t>
        </is>
      </c>
      <c r="J1492">
        <f>HYPERLINK("https://www.acritica.com/entretenimento/teatro-amazonas-recebe-espetaculo-miqueias-william-in-concert-1.68448", "URL")</f>
        <v/>
      </c>
      <c r="K1492">
        <f>HYPERLINK("https://raw.githubusercontent.com/marcosmapl/dataset_imigrantes/main/noticias_filtered/a_critica/venezuelanos/2019/05_jun/html/1.68448_130.html", "HTML")</f>
        <v/>
      </c>
      <c r="L1492">
        <f>HYPERLINK("https://raw.githubusercontent.com/marcosmapl/dataset_imigrantes/main/noticias_filtered/a_critica/venezuelanos/2019/05_jun/txt/1.68448_130.txt", "TXT")</f>
        <v/>
      </c>
    </row>
    <row r="1493">
      <c r="A1493" s="1" t="n">
        <v>1491</v>
      </c>
      <c r="B1493" t="n">
        <v>2019</v>
      </c>
      <c r="C1493" s="2" t="n">
        <v>43626.73702112269</v>
      </c>
      <c r="D1493" t="inlineStr">
        <is>
          <t>G1</t>
        </is>
      </c>
      <c r="E1493" t="inlineStr">
        <is>
          <t>HAITIANOS</t>
        </is>
      </c>
      <c r="F1493" t="inlineStr">
        <is>
          <t>SANTA CATARINA</t>
        </is>
      </c>
      <c r="G1493" t="inlineStr">
        <is>
          <t>NSC TV</t>
        </is>
      </c>
      <c r="H1493" t="inlineStr">
        <is>
          <t>'NÃO MERECIA ISSO', DIZ IRMÃ DE HAITIANO MORTO APÓS SER EMPURRADO E ATROPELADO EM RODOVIA EM SC</t>
        </is>
      </c>
      <c r="I1493" t="inlineStr">
        <is>
          <t>POLÍCIA CIVIL INVESTIGA O CASO COMO ASSASSINATO. IMAGENS DE CÂMERAS DE SEGURANÇA MOSTRAM O CRIME.</t>
        </is>
      </c>
      <c r="J1493">
        <f>HYPERLINK("https://g1.globo.com/sc/santa-catarina/noticia/2019/06/10/nao-merecia-isso-diz-irma-de-haitiano-morto-apos-ser-empurrado-e-atropelado-em-rodovia-em-sc.ghtml", "URL")</f>
        <v/>
      </c>
      <c r="K1493">
        <f>HYPERLINK("https://raw.githubusercontent.com/marcosmapl/dataset_imigrantes/main/noticias_filtered/g1/haitianos/2019/05_jun/html/g1_3b35c5a0-22f4-11ed-b24f-6dbe51e79fca_1879.html", "HTML")</f>
        <v/>
      </c>
      <c r="L1493">
        <f>HYPERLINK("https://raw.githubusercontent.com/marcosmapl/dataset_imigrantes/main/noticias_filtered/g1/haitianos/2019/05_jun/txt/g1_3b35c5a0-22f4-11ed-b24f-6dbe51e79fca_1879.txt", "TXT")</f>
        <v/>
      </c>
    </row>
    <row r="1494">
      <c r="A1494" s="1" t="n">
        <v>1492</v>
      </c>
      <c r="B1494" t="n">
        <v>2019</v>
      </c>
      <c r="C1494" s="2" t="n">
        <v>43626.55543981482</v>
      </c>
      <c r="D1494" t="inlineStr">
        <is>
          <t>A CRITICA</t>
        </is>
      </c>
      <c r="E1494" t="inlineStr">
        <is>
          <t>VENEZUELANOS</t>
        </is>
      </c>
      <c r="F1494" t="inlineStr"/>
      <c r="G1494" t="inlineStr">
        <is>
          <t>REUTERS</t>
        </is>
      </c>
      <c r="H1494" t="inlineStr">
        <is>
          <t>ANGELINA JOLIE PEDE APOIO INTERNACIONAL ÀS CRIANÇAS VENEZUELANAS</t>
        </is>
      </c>
      <c r="I1494" t="inlineStr">
        <is>
          <t>20 MIL CRIANÇAS VENEZUELANAS ESTÃO EM RISCO DE FICAR SEM DIREITOS BÁSICOS DE CIDADANIA. A ATRIZ FALOU NA COLÔMBIA COMO ENVIADA ESPECIAL DO ACNUR</t>
        </is>
      </c>
      <c r="J1494">
        <f>HYPERLINK("https://www.acritica.com/angelina-jolie-pede-apoio-internacional-as-criancas-venezuelanas-1.68474", "URL")</f>
        <v/>
      </c>
      <c r="K1494">
        <f>HYPERLINK("https://raw.githubusercontent.com/marcosmapl/dataset_imigrantes/main/noticias_filtered/a_critica/venezuelanos/2019/05_jun/html/1.68474_1167.html", "HTML")</f>
        <v/>
      </c>
      <c r="L1494">
        <f>HYPERLINK("https://raw.githubusercontent.com/marcosmapl/dataset_imigrantes/main/noticias_filtered/a_critica/venezuelanos/2019/05_jun/txt/1.68474_1167.txt", "TXT")</f>
        <v/>
      </c>
    </row>
    <row r="1495">
      <c r="A1495" s="1" t="n">
        <v>1493</v>
      </c>
      <c r="B1495" t="n">
        <v>2019</v>
      </c>
      <c r="C1495" s="2" t="n">
        <v>43623.91595234954</v>
      </c>
      <c r="D1495" t="inlineStr">
        <is>
          <t>G1</t>
        </is>
      </c>
      <c r="E1495" t="inlineStr">
        <is>
          <t>HAITIANOS</t>
        </is>
      </c>
      <c r="F1495" t="inlineStr">
        <is>
          <t>SANTA CATARINA</t>
        </is>
      </c>
      <c r="G1495" t="inlineStr">
        <is>
          <t>G1 SC</t>
        </is>
      </c>
      <c r="H1495" t="inlineStr">
        <is>
          <t>POLÍCIA INVESTIGA MORTE DE HAITIANO ATROPELADO APÓS SER EMPURRADO PARA A BR-101 EM SC</t>
        </is>
      </c>
      <c r="I1495" t="inlineStr">
        <is>
          <t>DELEGACIA DE INVESTIGAÇÃO CRIMINAL DE SÃO JOSÉ ANALISA IMAGENS DE CÂMERA DE SEGURANÇA. KERBY TINGE TINHA 32 ANOS.</t>
        </is>
      </c>
      <c r="J1495">
        <f>HYPERLINK("https://g1.globo.com/sc/santa-catarina/noticia/2019/06/07/policia-investiga-morte-de-haitiano-atropelado-apos-ser-empurrado-para-a-br-101-em-sc.ghtml", "URL")</f>
        <v/>
      </c>
      <c r="K1495">
        <f>HYPERLINK("https://raw.githubusercontent.com/marcosmapl/dataset_imigrantes/main/noticias_filtered/g1/haitianos/2019/05_jun/html/g1_834944d2-22f6-11ed-b24f-6dbe51e79fca_2018.html", "HTML")</f>
        <v/>
      </c>
      <c r="L1495">
        <f>HYPERLINK("https://raw.githubusercontent.com/marcosmapl/dataset_imigrantes/main/noticias_filtered/g1/haitianos/2019/05_jun/txt/g1_834944d2-22f6-11ed-b24f-6dbe51e79fca_2018.txt", "TXT")</f>
        <v/>
      </c>
    </row>
    <row r="1496">
      <c r="A1496" s="1" t="n">
        <v>1494</v>
      </c>
      <c r="B1496" t="n">
        <v>2019</v>
      </c>
      <c r="C1496" s="2" t="n">
        <v>43623.56877314814</v>
      </c>
      <c r="D1496" t="inlineStr">
        <is>
          <t>A CRITICA</t>
        </is>
      </c>
      <c r="E1496" t="inlineStr">
        <is>
          <t>VENEZUELANOS</t>
        </is>
      </c>
      <c r="F1496" t="inlineStr"/>
      <c r="G1496" t="inlineStr">
        <is>
          <t>REUTERS</t>
        </is>
      </c>
      <c r="H1496" t="inlineStr">
        <is>
          <t>NÚMERO DE VENEZUELANOS QUE FUGIRAM DE CRISE CHEGA A 4 MILHÕES, DIZ ONU</t>
        </is>
      </c>
      <c r="I1496" t="inlineStr">
        <is>
          <t>O NÚMERO “ALARMANTE” DESTACA A NECESSIDADE URGENTE DE APOIAR OS PAÍSES QUE RECEBEM ESSAS PESSOAS, PRINCIPALMENTE NA AMÉRICA LATINA</t>
        </is>
      </c>
      <c r="J1496">
        <f>HYPERLINK("https://www.acritica.com/numero-de-venezuelanos-que-fugiram-de-crise-chega-a-4-milh-es-diz-onu-1.68149", "URL")</f>
        <v/>
      </c>
      <c r="K1496">
        <f>HYPERLINK("https://raw.githubusercontent.com/marcosmapl/dataset_imigrantes/main/noticias_filtered/a_critica/venezuelanos/2019/05_jun/html/1.68149_612.html", "HTML")</f>
        <v/>
      </c>
      <c r="L1496">
        <f>HYPERLINK("https://raw.githubusercontent.com/marcosmapl/dataset_imigrantes/main/noticias_filtered/a_critica/venezuelanos/2019/05_jun/txt/1.68149_612.txt", "TXT")</f>
        <v/>
      </c>
    </row>
    <row r="1497">
      <c r="A1497" s="1" t="n">
        <v>1495</v>
      </c>
      <c r="B1497" t="n">
        <v>2019</v>
      </c>
      <c r="C1497" s="2" t="n">
        <v>43622.50486111111</v>
      </c>
      <c r="D1497" t="inlineStr">
        <is>
          <t>PORTAL AMAZONIA</t>
        </is>
      </c>
      <c r="E1497" t="inlineStr">
        <is>
          <t>VENEZUELANOS</t>
        </is>
      </c>
      <c r="F1497" t="inlineStr">
        <is>
          <t>CIDADES</t>
        </is>
      </c>
      <c r="G1497" t="inlineStr">
        <is>
          <t>REDAÇÃO</t>
        </is>
      </c>
      <c r="H1497" t="inlineStr">
        <is>
          <t>TRÊS PORTOS NO INTERIOR DO AMAZONAS SÃO REATIVADOS E JÁ RECEBEM EMBARCAÇÕES</t>
        </is>
      </c>
      <c r="I1497" t="inlineStr">
        <is>
          <t>TRÊS INSTALAÇÕES PORTUÁRIAS PÚBLICAS DE PEQUENO PORTE, IDENTIFICADAS PELA SIGLA IP4, FORAM REATIVADAS ESTA SEMANA NO AMAZONAS. OS PORTOS NOS MUNICÍPIOS DE BORBA, BERURI E CANUTAMA JÁ ESTÃO RECEBENDO EMBARCAÇÕES DE CARGAS E PASSAGEIROS. DE ACORDO COM</t>
        </is>
      </c>
      <c r="J1497">
        <f>HYPERLINK("https://portalamazonia.com/noticias/cidades/tres-portos-no-interior-do-amazonas-sao-reativados-e-ja-recebem-embarcacoes", "URL")</f>
        <v/>
      </c>
      <c r="K1497">
        <f>HYPERLINK("https://raw.githubusercontent.com/marcosmapl/dataset_imigrantes/main/noticias_filtered/portal_amazonia/venezuelanos/2019/05_jun/html/22364.22364_1470.html", "HTML")</f>
        <v/>
      </c>
      <c r="L1497">
        <f>HYPERLINK("https://raw.githubusercontent.com/marcosmapl/dataset_imigrantes/main/noticias_filtered/portal_amazonia/venezuelanos/2019/05_jun/txt/22364.22364_1470.txt", "TXT")</f>
        <v/>
      </c>
    </row>
    <row r="1498">
      <c r="A1498" s="1" t="n">
        <v>1496</v>
      </c>
      <c r="B1498" t="n">
        <v>2019</v>
      </c>
      <c r="C1498" s="2" t="n">
        <v>43622.49605324074</v>
      </c>
      <c r="D1498" t="inlineStr">
        <is>
          <t>A CRITICA</t>
        </is>
      </c>
      <c r="E1498" t="inlineStr">
        <is>
          <t>VENEZUELANOS</t>
        </is>
      </c>
      <c r="F1498" t="inlineStr">
        <is>
          <t>ESPORTES</t>
        </is>
      </c>
      <c r="G1498" t="inlineStr">
        <is>
          <t>LEONARDO SENA</t>
        </is>
      </c>
      <c r="H1498" t="inlineStr">
        <is>
          <t>GRUPO DE TORCEDORES VASCAÍNOS ATRAI VOLUNTÁRIOS EM ALUSÃO À CAMPANHA 'JUNHO VERMELHO'</t>
        </is>
      </c>
      <c r="I1498" t="inlineStr">
        <is>
          <t>ALÉM DE TORCER, UNIÃO VASCAÍNA PROCURA TRABALHAR COM SERVIÇOS VOLUNTÁRIOS</t>
        </is>
      </c>
      <c r="J1498">
        <f>HYPERLINK("https://www.acritica.com/esportes/grupo-de-torcedores-vascainos-atrai-voluntarios-em-alus-o-a-campanha-junho-vermelho-1.67994", "URL")</f>
        <v/>
      </c>
      <c r="K1498">
        <f>HYPERLINK("https://raw.githubusercontent.com/marcosmapl/dataset_imigrantes/main/noticias_filtered/a_critica/venezuelanos/2019/05_jun/html/1.67994_119.html", "HTML")</f>
        <v/>
      </c>
      <c r="L1498">
        <f>HYPERLINK("https://raw.githubusercontent.com/marcosmapl/dataset_imigrantes/main/noticias_filtered/a_critica/venezuelanos/2019/05_jun/txt/1.67994_119.txt", "TXT")</f>
        <v/>
      </c>
    </row>
    <row r="1499">
      <c r="A1499" s="1" t="n">
        <v>1497</v>
      </c>
      <c r="B1499" t="n">
        <v>2019</v>
      </c>
      <c r="C1499" s="2" t="n">
        <v>43621.83680555555</v>
      </c>
      <c r="D1499" t="inlineStr">
        <is>
          <t>PORTAL AMAZONIA</t>
        </is>
      </c>
      <c r="E1499" t="inlineStr">
        <is>
          <t>VENEZUELANOS</t>
        </is>
      </c>
      <c r="F1499" t="inlineStr">
        <is>
          <t>CIDADES</t>
        </is>
      </c>
      <c r="G1499" t="inlineStr">
        <is>
          <t>REDAÇÃO</t>
        </is>
      </c>
      <c r="H1499" t="inlineStr">
        <is>
          <t>VENEZUELANO FAZ HORTA EM PRÉDIO ABANDONADO HÁ 10 ANOS EM RORAIMA</t>
        </is>
      </c>
      <c r="I1499" t="inlineStr">
        <is>
          <t>O VENEZUELANO WILLIAM RIBEIRO ZAPATA, DE 43 ANOS, DEU INÍCIO AO CULTIVO DE UMA HORTA NO TERRENO DO TEATRO CARLOS GOMES, NO CENTRO DE BOA VISTA. O PRÉDIO, QUE ESTAVA ABANDONADO HÁ UMA DÉCADA PELO GOVERNO DE RORAIMA, TAMBÉM TEM SERVIDO DE MORADIA A DUA</t>
        </is>
      </c>
      <c r="J1499">
        <f>HYPERLINK("https://portalamazonia.com/noticias/cidades/venezuelano-faz-horta-em-predio-abandonado-ha-10-anos-em-roraima", "URL")</f>
        <v/>
      </c>
      <c r="K1499">
        <f>HYPERLINK("https://raw.githubusercontent.com/marcosmapl/dataset_imigrantes/main/noticias_filtered/portal_amazonia/venezuelanos/2019/05_jun/html/22362.22362_1508.html", "HTML")</f>
        <v/>
      </c>
      <c r="L1499">
        <f>HYPERLINK("https://raw.githubusercontent.com/marcosmapl/dataset_imigrantes/main/noticias_filtered/portal_amazonia/venezuelanos/2019/05_jun/txt/22362.22362_1508.txt", "TXT")</f>
        <v/>
      </c>
    </row>
    <row r="1500">
      <c r="A1500" s="1" t="n">
        <v>1498</v>
      </c>
      <c r="B1500" t="n">
        <v>2019</v>
      </c>
      <c r="C1500" s="2" t="n">
        <v>43621.75848472222</v>
      </c>
      <c r="D1500" t="inlineStr">
        <is>
          <t>G1</t>
        </is>
      </c>
      <c r="E1500" t="inlineStr">
        <is>
          <t>VENEZUELANOS</t>
        </is>
      </c>
      <c r="F1500" t="inlineStr">
        <is>
          <t>AMAZONAS</t>
        </is>
      </c>
      <c r="G1500" t="inlineStr">
        <is>
          <t>G1 AM</t>
        </is>
      </c>
      <c r="H1500" t="inlineStr">
        <is>
          <t>REFUGIADA VENEZUELANA PARTICIPA DE ESPETÁCULO NO TEATRO AMAZONAS NO DIA DOS NAMORADOS</t>
        </is>
      </c>
      <c r="I1500" t="inlineStr">
        <is>
          <t>CANTORA GÉNESIS CORDERO PARTICIPA DO ESPETÁCULO “MIQUÉIAS WILLIAM IN CONCERT”</t>
        </is>
      </c>
      <c r="J1500">
        <f>HYPERLINK("https://g1.globo.com/am/amazonas/noticia/2019/06/05/refugiada-venezuelana-participa-de-espetaculo-no-teatro-amazonas-no-dia-dos-namorados.ghtml", "URL")</f>
        <v/>
      </c>
      <c r="K1500">
        <f>HYPERLINK("https://raw.githubusercontent.com/marcosmapl/dataset_imigrantes/main/noticias_filtered/g1/venezuelanos/2019/05_jun/html/g1_de1c965a-230c-11ed-b24f-6dbe51e79fca_2653.html", "HTML")</f>
        <v/>
      </c>
      <c r="L1500">
        <f>HYPERLINK("https://raw.githubusercontent.com/marcosmapl/dataset_imigrantes/main/noticias_filtered/g1/venezuelanos/2019/05_jun/txt/g1_de1c965a-230c-11ed-b24f-6dbe51e79fca_2653.txt", "TXT")</f>
        <v/>
      </c>
    </row>
    <row r="1501">
      <c r="A1501" s="1" t="n">
        <v>1499</v>
      </c>
      <c r="B1501" t="n">
        <v>2019</v>
      </c>
      <c r="C1501" s="2" t="n">
        <v>43620.90200409722</v>
      </c>
      <c r="D1501" t="inlineStr">
        <is>
          <t>G1</t>
        </is>
      </c>
      <c r="E1501" t="inlineStr">
        <is>
          <t>VENEZUELANOS</t>
        </is>
      </c>
      <c r="F1501" t="inlineStr">
        <is>
          <t>CAMPINAS E REGIÃO</t>
        </is>
      </c>
      <c r="G1501" t="inlineStr">
        <is>
          <t>LÍCIA MANGIAVACCHI, G1 CAMPINAS E REGIÃO E EPTV</t>
        </is>
      </c>
      <c r="H1501" t="inlineStr">
        <is>
          <t>PF DE CAMPINAS APURA MORTE DE VENEZUELANA QUE TENTOU VIAJAR À FRANÇA COM COCAÍNA NO ESTÔMAGO</t>
        </is>
      </c>
      <c r="I1501" t="inlineStr">
        <is>
          <t>MULHER DE 46 ANOS HAVIA INGERIDO 75 CÁPSULAS DA DROGA. APREENSÃO EM VIRACOPOS OCORREU NO DIA 17 DE MAIO E ELA VEIO A ÓBITO TRÊS DIAS DEPOIS. INFORMAÇÃO FOI CONFIRMADA NESTA TERÇA (4).</t>
        </is>
      </c>
      <c r="J1501">
        <f>HYPERLINK("https://g1.globo.com/sp/campinas-regiao/noticia/2019/06/04/pf-de-campinas-apura-morte-de-venezuelana-que-tentou-viajar-a-franca-com-cocaina-no-estomago.ghtml", "URL")</f>
        <v/>
      </c>
      <c r="K1501">
        <f>HYPERLINK("https://raw.githubusercontent.com/marcosmapl/dataset_imigrantes/main/noticias_filtered/g1/venezuelanos/2019/05_jun/html/g1_99ed9288-231e-11ed-b24f-6dbe51e79fca_3572.html", "HTML")</f>
        <v/>
      </c>
      <c r="L1501">
        <f>HYPERLINK("https://raw.githubusercontent.com/marcosmapl/dataset_imigrantes/main/noticias_filtered/g1/venezuelanos/2019/05_jun/txt/g1_99ed9288-231e-11ed-b24f-6dbe51e79fca_3572.txt", "TXT")</f>
        <v/>
      </c>
    </row>
    <row r="1502">
      <c r="A1502" s="1" t="n">
        <v>1500</v>
      </c>
      <c r="B1502" t="n">
        <v>2019</v>
      </c>
      <c r="C1502" s="2" t="n">
        <v>43620.6293287037</v>
      </c>
      <c r="D1502" t="inlineStr">
        <is>
          <t>A CRITICA</t>
        </is>
      </c>
      <c r="E1502" t="inlineStr">
        <is>
          <t>VENEZUELANOS</t>
        </is>
      </c>
      <c r="F1502" t="inlineStr">
        <is>
          <t>MANAUS</t>
        </is>
      </c>
      <c r="G1502" t="inlineStr">
        <is>
          <t>PORTAL A CRÍTICA</t>
        </is>
      </c>
      <c r="H1502" t="inlineStr">
        <is>
          <t>GOVERNO FEDERAL ESTENDE OPERAÇÃO ACOLHIDA PARA VENEZUELANOS EM MANAUS</t>
        </is>
      </c>
      <c r="I1502" t="inlineStr">
        <is>
          <t>MANAUS NÃO CONTARÁ COM UMA REDE DE ABRIGOS, COMO EM BOA VISTA, MAS CAPITAL DO AM TERÁ TRIAGEM PARA LEVAR VENEZUELANOS PARA OUTRAS PARTES DO BRASIL</t>
        </is>
      </c>
      <c r="J1502">
        <f>HYPERLINK("https://www.acritica.com/manaus/governo-federal-estende-operac-o-acolhida-para-venezuelanos-em-manaus-1.67871", "URL")</f>
        <v/>
      </c>
      <c r="K1502">
        <f>HYPERLINK("https://raw.githubusercontent.com/marcosmapl/dataset_imigrantes/main/noticias_filtered/a_critica/venezuelanos/2019/05_jun/html/1.67871_1120.html", "HTML")</f>
        <v/>
      </c>
      <c r="L1502">
        <f>HYPERLINK("https://raw.githubusercontent.com/marcosmapl/dataset_imigrantes/main/noticias_filtered/a_critica/venezuelanos/2019/05_jun/txt/1.67871_1120.txt", "TXT")</f>
        <v/>
      </c>
    </row>
    <row r="1503">
      <c r="A1503" s="1" t="n">
        <v>1501</v>
      </c>
      <c r="B1503" t="n">
        <v>2019</v>
      </c>
      <c r="C1503" s="2" t="n">
        <v>43620.58381877315</v>
      </c>
      <c r="D1503" t="inlineStr">
        <is>
          <t>G1</t>
        </is>
      </c>
      <c r="E1503" t="inlineStr">
        <is>
          <t>VENEZUELANOS</t>
        </is>
      </c>
      <c r="F1503" t="inlineStr">
        <is>
          <t>POLÍTICA</t>
        </is>
      </c>
      <c r="G1503" t="inlineStr">
        <is>
          <t>LUIZ FELIPE BARBIÉRI, G1 — BRASÍLIA</t>
        </is>
      </c>
      <c r="H1503" t="inlineStr">
        <is>
          <t>BOLSONARO OFICIALIZA NOVA EMBAIXADORA VENEZUELANA NO BRASIL</t>
        </is>
      </c>
      <c r="I1503" t="inlineStr">
        <is>
          <t>MARÍA TERESA BELANDRIA EXPÓSITO FOI NOMEADA REPRESENTANTE NO PAÍS PELO AUTOPROCLAMADO GOVERNO DE JUAN GUAIDÓ. ATO PROTOCOLAR MARCA INÍCIO OFICIAL DAS ATIVIDADES DA EMBAIXADORA.</t>
        </is>
      </c>
      <c r="J1503">
        <f>HYPERLINK("https://g1.globo.com/politica/noticia/2019/06/04/bolsonaro-oficializa-nova-embaixadora-venezuelana-no-brasil.ghtml", "URL")</f>
        <v/>
      </c>
      <c r="K1503">
        <f>HYPERLINK("https://raw.githubusercontent.com/marcosmapl/dataset_imigrantes/main/noticias_filtered/g1/venezuelanos/2019/05_jun/html/g1_7941095e-2308-11ed-b24f-6dbe51e79fca_2386.html", "HTML")</f>
        <v/>
      </c>
      <c r="L1503">
        <f>HYPERLINK("https://raw.githubusercontent.com/marcosmapl/dataset_imigrantes/main/noticias_filtered/g1/venezuelanos/2019/05_jun/txt/g1_7941095e-2308-11ed-b24f-6dbe51e79fca_2386.txt", "TXT")</f>
        <v/>
      </c>
    </row>
    <row r="1504">
      <c r="A1504" s="1" t="n">
        <v>1502</v>
      </c>
      <c r="B1504" t="n">
        <v>2019</v>
      </c>
      <c r="C1504" s="2" t="n">
        <v>43620.4896102662</v>
      </c>
      <c r="D1504" t="inlineStr">
        <is>
          <t>G1</t>
        </is>
      </c>
      <c r="E1504" t="inlineStr">
        <is>
          <t>VENEZUELANOS</t>
        </is>
      </c>
      <c r="F1504" t="inlineStr">
        <is>
          <t>RORAIMA</t>
        </is>
      </c>
      <c r="G1504" t="inlineStr">
        <is>
          <t>FABRÍCIO ARAÚJO, G1 RR — BOA VISTA</t>
        </is>
      </c>
      <c r="H1504" t="inlineStr">
        <is>
          <t>VENEZUELANO FAZ HORTA EM PRÉDIO ABANDONADO HÁ 10 ANOS EM RR: 'VOU DIVIDIR COM QUEM TEM FOME'</t>
        </is>
      </c>
      <c r="I1504" t="inlineStr">
        <is>
          <t>SEM TER ONDE MORAR, FAMÍLIA DE IMIGRANTES PASSOU A VIVER EM TEATRO ABANDONADO NO CENTRO DE BOA VISTA ONDE FEZ CULTIVO. PLANTAÇÃO TEM MILHO, MELANCIA E ATÉ ESPANTALHO DE PAPELÃO.</t>
        </is>
      </c>
      <c r="J1504">
        <f>HYPERLINK("https://g1.globo.com/rr/roraima/noticia/2019/06/04/venezuelano-faz-horta-em-predio-abandonado-ha-10-anos-em-rr-vou-dividir-com-quem-tem-fome.ghtml", "URL")</f>
        <v/>
      </c>
      <c r="K1504">
        <f>HYPERLINK("https://raw.githubusercontent.com/marcosmapl/dataset_imigrantes/main/noticias_filtered/g1/venezuelanos/2019/05_jun/html/g1_888e001a-231c-11ed-b24f-6dbe51e79fca_3450.html", "HTML")</f>
        <v/>
      </c>
      <c r="L1504">
        <f>HYPERLINK("https://raw.githubusercontent.com/marcosmapl/dataset_imigrantes/main/noticias_filtered/g1/venezuelanos/2019/05_jun/txt/g1_888e001a-231c-11ed-b24f-6dbe51e79fca_3450.txt", "TXT")</f>
        <v/>
      </c>
    </row>
    <row r="1505">
      <c r="A1505" s="1" t="n">
        <v>1503</v>
      </c>
      <c r="B1505" t="n">
        <v>2019</v>
      </c>
      <c r="C1505" s="2" t="n">
        <v>43619.85600967592</v>
      </c>
      <c r="D1505" t="inlineStr">
        <is>
          <t>G1</t>
        </is>
      </c>
      <c r="E1505" t="inlineStr">
        <is>
          <t>VENEZUELANOS</t>
        </is>
      </c>
      <c r="F1505" t="inlineStr">
        <is>
          <t>SÃO CARLOS E ARARAQUARA</t>
        </is>
      </c>
      <c r="G1505" t="inlineStr">
        <is>
          <t>G1 SÃO CARLOS E ARARAQUARA</t>
        </is>
      </c>
      <c r="H1505" t="inlineStr">
        <is>
          <t>VENEZUELANO DE 39 ANOS É DIAGNOSTICADO COM MALÁRIA NA SANTA CASA DE SÃO CARLOS</t>
        </is>
      </c>
      <c r="I1505" t="inlineStr">
        <is>
          <t>PACIENTE, QUE CHEGOU DE RORAIMA RECENTEMENTE, FOI INTERNADO NO DIA 22 DE MAIO. ESTADO É ESTÁVEL E ELE FOI TRANSFERIDO PARA O HOSPITAL DAS CLÍNICAS DE RIBEIRÃO PRETO NESTA SEGUNDA-FEIRA (3).</t>
        </is>
      </c>
      <c r="J1505">
        <f>HYPERLINK("https://g1.globo.com/sp/sao-carlos-regiao/noticia/2019/06/03/venezuelano-de-39-anos-e-diagnosticado-com-malaria-na-santa-casa-de-sao-carlos.ghtml", "URL")</f>
        <v/>
      </c>
      <c r="K1505">
        <f>HYPERLINK("https://raw.githubusercontent.com/marcosmapl/dataset_imigrantes/main/noticias_filtered/g1/venezuelanos/2019/05_jun/html/g1_711b2944-2317-11ed-b24f-6dbe51e79fca_3207.html", "HTML")</f>
        <v/>
      </c>
      <c r="L1505">
        <f>HYPERLINK("https://raw.githubusercontent.com/marcosmapl/dataset_imigrantes/main/noticias_filtered/g1/venezuelanos/2019/05_jun/txt/g1_711b2944-2317-11ed-b24f-6dbe51e79fca_3207.txt", "TXT")</f>
        <v/>
      </c>
    </row>
    <row r="1506">
      <c r="A1506" s="1" t="n">
        <v>1504</v>
      </c>
      <c r="B1506" t="n">
        <v>2019</v>
      </c>
      <c r="C1506" s="2" t="n">
        <v>43618.65447986111</v>
      </c>
      <c r="D1506" t="inlineStr">
        <is>
          <t>G1</t>
        </is>
      </c>
      <c r="E1506" t="inlineStr">
        <is>
          <t>VENEZUELANOS</t>
        </is>
      </c>
      <c r="F1506" t="inlineStr">
        <is>
          <t>MUNDO</t>
        </is>
      </c>
      <c r="G1506" t="inlineStr">
        <is>
          <t>REUTERS</t>
        </is>
      </c>
      <c r="H1506" t="inlineStr">
        <is>
          <t>LÍDER DA OPOSIÇÃO VENEZUELANA DIZ QUE GOVERNO DE MADURO CHEGARÁ AO FIM EM 2019</t>
        </is>
      </c>
      <c r="I1506" t="inlineStr">
        <is>
          <t>JUAN GUAIDÓ ASSEGUROU QUE A OPOSIÇÃO CONTINUARÁ NAS RUAS.</t>
        </is>
      </c>
      <c r="J1506">
        <f>HYPERLINK("https://g1.globo.com/mundo/noticia/2019/06/02/lider-de-oposicao-venezuelana-diz-que-governo-de-maduro-chegara-ao-fim-em-2019.ghtml", "URL")</f>
        <v/>
      </c>
      <c r="K1506">
        <f>HYPERLINK("https://raw.githubusercontent.com/marcosmapl/dataset_imigrantes/main/noticias_filtered/g1/venezuelanos/2019/05_jun/html/g1_e0395cfa-230e-11ed-b24f-6dbe51e79fca_2763.html", "HTML")</f>
        <v/>
      </c>
      <c r="L1506">
        <f>HYPERLINK("https://raw.githubusercontent.com/marcosmapl/dataset_imigrantes/main/noticias_filtered/g1/venezuelanos/2019/05_jun/txt/g1_e0395cfa-230e-11ed-b24f-6dbe51e79fca_2763.txt", "TXT")</f>
        <v/>
      </c>
    </row>
    <row r="1507">
      <c r="A1507" s="1" t="n">
        <v>1505</v>
      </c>
      <c r="B1507" t="n">
        <v>2019</v>
      </c>
      <c r="C1507" s="2" t="n">
        <v>43617.78405092593</v>
      </c>
      <c r="D1507" t="inlineStr">
        <is>
          <t>A CRITICA</t>
        </is>
      </c>
      <c r="E1507" t="inlineStr">
        <is>
          <t>VENEZUELANOS</t>
        </is>
      </c>
      <c r="F1507" t="inlineStr">
        <is>
          <t>MANAUS</t>
        </is>
      </c>
      <c r="G1507" t="inlineStr">
        <is>
          <t>IZABEL GUEDES</t>
        </is>
      </c>
      <c r="H1507" t="inlineStr">
        <is>
          <t>FIÉIS INICIAM CARREATA DA MARCHA PARA JESUS NO CENTRO DE MANAUS</t>
        </is>
      </c>
      <c r="I1507" t="inlineStr">
        <is>
          <t>OS PARTICIPANTES QUE SE CONCENTRARAM DESDE AS 12H NA PRAÇA DA SAUDADE VÃO PASSAR POR DIVERSAS AVENIDAS, COM DESTINO AO SAMBÓDROMO. HÁ ALTERAÇÕES NO TRÂNSITO</t>
        </is>
      </c>
      <c r="J1507">
        <f>HYPERLINK("https://www.acritica.com/manaus/fieis-iniciam-carreata-da-marcha-para-jesus-no-centro-de-manaus-1.67794", "URL")</f>
        <v/>
      </c>
      <c r="K1507">
        <f>HYPERLINK("https://raw.githubusercontent.com/marcosmapl/dataset_imigrantes/main/noticias_filtered/a_critica/venezuelanos/2019/05_jun/html/1.67794_1179.html", "HTML")</f>
        <v/>
      </c>
      <c r="L1507">
        <f>HYPERLINK("https://raw.githubusercontent.com/marcosmapl/dataset_imigrantes/main/noticias_filtered/a_critica/venezuelanos/2019/05_jun/txt/1.67794_1179.txt", "TXT")</f>
        <v/>
      </c>
    </row>
    <row r="1508">
      <c r="A1508" s="1" t="n">
        <v>1506</v>
      </c>
      <c r="B1508" t="n">
        <v>2019</v>
      </c>
      <c r="C1508" s="2" t="n">
        <v>43615.52883101852</v>
      </c>
      <c r="D1508" t="inlineStr">
        <is>
          <t>A CRITICA</t>
        </is>
      </c>
      <c r="E1508" t="inlineStr">
        <is>
          <t>VENEZUELANOS</t>
        </is>
      </c>
      <c r="F1508" t="inlineStr"/>
      <c r="G1508" t="inlineStr">
        <is>
          <t>AGÊNCIA BRASIL</t>
        </is>
      </c>
      <c r="H1508" t="inlineStr">
        <is>
          <t>PESQUISA INÉDITA SOBRE REFUGIADOS NO PAÍS REVELA BOA FORMAÇÃO ESCOLAR</t>
        </is>
      </c>
      <c r="I1508" t="inlineStr">
        <is>
          <t>ENTREVISTAS FORAM FEITAS COM REFUGIADOS QUE VIVEM EM OITO ESTADOS DO PAÍS, ENTRE ELES O AMAZONAS. CONFIRA OS PRINCIPAIS LEVANTAMENTOS FEITOS PELA ACNUR</t>
        </is>
      </c>
      <c r="J1508">
        <f>HYPERLINK("https://www.acritica.com/pesquisa-inedita-sobre-refugiados-no-pais-revela-boa-formac-o-escolar-1.67453", "URL")</f>
        <v/>
      </c>
      <c r="K1508">
        <f>HYPERLINK("https://raw.githubusercontent.com/marcosmapl/dataset_imigrantes/main/noticias_filtered/a_critica/venezuelanos/2019/04_mai/html/1.67453_558.html", "HTML")</f>
        <v/>
      </c>
      <c r="L1508">
        <f>HYPERLINK("https://raw.githubusercontent.com/marcosmapl/dataset_imigrantes/main/noticias_filtered/a_critica/venezuelanos/2019/04_mai/txt/1.67453_558.txt", "TXT")</f>
        <v/>
      </c>
    </row>
    <row r="1509">
      <c r="A1509" s="1" t="n">
        <v>1507</v>
      </c>
      <c r="B1509" t="n">
        <v>2019</v>
      </c>
      <c r="C1509" s="2" t="n">
        <v>43614.6404012963</v>
      </c>
      <c r="D1509" t="inlineStr">
        <is>
          <t>G1</t>
        </is>
      </c>
      <c r="E1509" t="inlineStr">
        <is>
          <t>VENEZUELANOS</t>
        </is>
      </c>
      <c r="F1509" t="inlineStr">
        <is>
          <t>RIO DE JANEIRO</t>
        </is>
      </c>
      <c r="G1509" t="inlineStr">
        <is>
          <t>G1 RIO</t>
        </is>
      </c>
      <c r="H1509" t="inlineStr">
        <is>
          <t>SUSPEITAS DE ROUBAR PASSAGEIRA DO BRT SÃO AGREDIDAS NA ESTAÇÃO ALVORADA, ZONA OESTE DO RIO</t>
        </is>
      </c>
      <c r="I1509" t="inlineStr">
        <is>
          <t>SEGUNDO O CONSÓRCIO, MULHERES AGREDIDAS ERAM VENEZUELANAS. NINGUÉM PRESTOU QUEIXA NA DELEGACIA.</t>
        </is>
      </c>
      <c r="J1509">
        <f>HYPERLINK("https://g1.globo.com/rj/rio-de-janeiro/noticia/2019/05/29/suspeitas-de-roubar-passageira-do-brt-sao-agredidas-na-estacao-alvorada-zona-oeste-do-rio.ghtml", "URL")</f>
        <v/>
      </c>
      <c r="K1509">
        <f>HYPERLINK("https://raw.githubusercontent.com/marcosmapl/dataset_imigrantes/main/noticias_filtered/g1/venezuelanos/2019/04_mai/html/g1_62442e3e-2321-11ed-b24f-6dbe51e79fca_3695.html", "HTML")</f>
        <v/>
      </c>
      <c r="L1509">
        <f>HYPERLINK("https://raw.githubusercontent.com/marcosmapl/dataset_imigrantes/main/noticias_filtered/g1/venezuelanos/2019/04_mai/txt/g1_62442e3e-2321-11ed-b24f-6dbe51e79fca_3695.txt", "TXT")</f>
        <v/>
      </c>
    </row>
    <row r="1510">
      <c r="A1510" s="1" t="n">
        <v>1508</v>
      </c>
      <c r="B1510" t="n">
        <v>2019</v>
      </c>
      <c r="C1510" s="2" t="n">
        <v>43614.49960969907</v>
      </c>
      <c r="D1510" t="inlineStr">
        <is>
          <t>G1</t>
        </is>
      </c>
      <c r="E1510" t="inlineStr">
        <is>
          <t>VENEZUELANOS</t>
        </is>
      </c>
      <c r="F1510" t="inlineStr">
        <is>
          <t>PIAUÍ</t>
        </is>
      </c>
      <c r="G1510" t="inlineStr">
        <is>
          <t>ANDRÊ NASCIMENTO, G1 PI</t>
        </is>
      </c>
      <c r="H1510" t="inlineStr">
        <is>
          <t>GRUPO COM CERCA DE 30 IMIGRANTES VENEZUELANOS DESEMBARCA EM TERESINA</t>
        </is>
      </c>
      <c r="I1510" t="inlineStr">
        <is>
          <t>ESTE É O SEGUNDO GRANDE GRUPO DE IMIGRANTES A CHEGAR A TERESINA EM MENOS DE UM MÊS. SEMCASPI AFIRMA QUE FAMÍLIAS DEVEM SER ENCAMINHADAS PARA JUNTO DO PRIMEIRO GRUPO.</t>
        </is>
      </c>
      <c r="J1510">
        <f>HYPERLINK("https://g1.globo.com/pi/piaui/noticia/2019/05/29/grupo-com-mais-de-30-imigrantes-venezuelanos-desembarca-em-teresina.ghtml", "URL")</f>
        <v/>
      </c>
      <c r="K1510">
        <f>HYPERLINK("https://raw.githubusercontent.com/marcosmapl/dataset_imigrantes/main/noticias_filtered/g1/venezuelanos/2019/04_mai/html/g1_bb2e3fcc-232a-11ed-b24f-6dbe51e79fca_4199.html", "HTML")</f>
        <v/>
      </c>
      <c r="L1510">
        <f>HYPERLINK("https://raw.githubusercontent.com/marcosmapl/dataset_imigrantes/main/noticias_filtered/g1/venezuelanos/2019/04_mai/txt/g1_bb2e3fcc-232a-11ed-b24f-6dbe51e79fca_4199.txt", "TXT")</f>
        <v/>
      </c>
    </row>
    <row r="1511">
      <c r="A1511" s="1" t="n">
        <v>1509</v>
      </c>
      <c r="B1511" t="n">
        <v>2019</v>
      </c>
      <c r="C1511" s="2" t="n">
        <v>43614.01163704861</v>
      </c>
      <c r="D1511" t="inlineStr">
        <is>
          <t>G1</t>
        </is>
      </c>
      <c r="E1511" t="inlineStr">
        <is>
          <t>HAITIANOS</t>
        </is>
      </c>
      <c r="F1511" t="inlineStr">
        <is>
          <t>CAMPINAS E REGIÃO</t>
        </is>
      </c>
      <c r="G1511" t="inlineStr">
        <is>
          <t>G1 CAMPINAS E REGIÃO</t>
        </is>
      </c>
      <c r="H1511" t="inlineStr">
        <is>
          <t>HAITIANO É PRESO APÓS APRESENTAR CERTIDÃO CONSULAR FALSA EM VIRACOPOS, DIZ PF</t>
        </is>
      </c>
      <c r="I1511" t="inlineStr">
        <is>
          <t>CASO OCORREU EM AEROPORTO DE CAMPINAS (SP), NESTA TERÇA-FEIRA (28).</t>
        </is>
      </c>
      <c r="J1511">
        <f>HYPERLINK("https://g1.globo.com/sp/campinas-regiao/noticia/2019/05/28/haitiano-e-preso-apos-apresentar-certidao-consular-falsa-em-viracopos-diz-pf.ghtml", "URL")</f>
        <v/>
      </c>
      <c r="K1511">
        <f>HYPERLINK("https://raw.githubusercontent.com/marcosmapl/dataset_imigrantes/main/noticias_filtered/g1/haitianos/2019/04_mai/html/g1_126d130c-22fa-11ed-b24f-6dbe51e79fca_2197.html", "HTML")</f>
        <v/>
      </c>
      <c r="L1511">
        <f>HYPERLINK("https://raw.githubusercontent.com/marcosmapl/dataset_imigrantes/main/noticias_filtered/g1/haitianos/2019/04_mai/txt/g1_126d130c-22fa-11ed-b24f-6dbe51e79fca_2197.txt", "TXT")</f>
        <v/>
      </c>
    </row>
    <row r="1512">
      <c r="A1512" s="1" t="n">
        <v>1510</v>
      </c>
      <c r="B1512" t="n">
        <v>2019</v>
      </c>
      <c r="C1512" s="2" t="n">
        <v>43612.97334189815</v>
      </c>
      <c r="D1512" t="inlineStr">
        <is>
          <t>G1</t>
        </is>
      </c>
      <c r="E1512" t="inlineStr">
        <is>
          <t>HAITIANOS</t>
        </is>
      </c>
      <c r="F1512" t="inlineStr">
        <is>
          <t>SANTA CATARINA</t>
        </is>
      </c>
      <c r="G1512" t="inlineStr">
        <is>
          <t>NSC TV</t>
        </is>
      </c>
      <c r="H1512" t="inlineStr">
        <is>
          <t>IMIGRANTE HAITIANO SE FORMA EM RELAÇÕES INTERNACIONAIS EM SC</t>
        </is>
      </c>
      <c r="I1512" t="inlineStr">
        <is>
          <t>CLAUDIN JACQUES É O PRIMEIRO A SE GRADUAR EM UNIVERSIDADE PARTICULAR DO ESTADO.</t>
        </is>
      </c>
      <c r="J1512">
        <f>HYPERLINK("https://g1.globo.com/sc/santa-catarina/noticia/2019/05/27/imigrante-haitiano-se-forma-em-relacoes-internacionais-em-sc.ghtml", "URL")</f>
        <v/>
      </c>
      <c r="K1512">
        <f>HYPERLINK("https://raw.githubusercontent.com/marcosmapl/dataset_imigrantes/main/noticias_filtered/g1/haitianos/2019/04_mai/html/g1_aba279fc-22f7-11ed-b24f-6dbe51e79fca_2089.html", "HTML")</f>
        <v/>
      </c>
      <c r="L1512">
        <f>HYPERLINK("https://raw.githubusercontent.com/marcosmapl/dataset_imigrantes/main/noticias_filtered/g1/haitianos/2019/04_mai/txt/g1_aba279fc-22f7-11ed-b24f-6dbe51e79fca_2089.txt", "TXT")</f>
        <v/>
      </c>
    </row>
    <row r="1513">
      <c r="A1513" s="1" t="n">
        <v>1511</v>
      </c>
      <c r="B1513" t="n">
        <v>2019</v>
      </c>
      <c r="C1513" s="2" t="n">
        <v>43612.6312962963</v>
      </c>
      <c r="D1513" t="inlineStr">
        <is>
          <t>A CRITICA</t>
        </is>
      </c>
      <c r="E1513" t="inlineStr">
        <is>
          <t>VENEZUELANOS</t>
        </is>
      </c>
      <c r="F1513" t="inlineStr">
        <is>
          <t>MANAUS</t>
        </is>
      </c>
      <c r="G1513" t="inlineStr">
        <is>
          <t>PORTAL A CRÍTICA</t>
        </is>
      </c>
      <c r="H1513" t="inlineStr">
        <is>
          <t>EM MANAUS, MAIS DE 2.600 VENEZUELANOS SÃO ATENDIDOS EM AÇÃO</t>
        </is>
      </c>
      <c r="I1513" t="inlineStr">
        <is>
          <t>SERVIÇOS OFERECIDOS INCLUÍRAM EMISSÃO DE DOCUMENTOS E TESTES RÁPIDOS, ALÉM DE ORIENTAÇÕES SOBRE A REDE DE ATENDIMENTO A MIGRANTES E REFUGIADOS</t>
        </is>
      </c>
      <c r="J1513">
        <f>HYPERLINK("https://www.acritica.com/manaus/em-manaus-mais-de-2-600-venezuelanos-s-o-atendidos-em-ac-o-1.67400", "URL")</f>
        <v/>
      </c>
      <c r="K1513">
        <f>HYPERLINK("https://raw.githubusercontent.com/marcosmapl/dataset_imigrantes/main/noticias_filtered/a_critica/venezuelanos/2019/04_mai/html/1.67400_32.html", "HTML")</f>
        <v/>
      </c>
      <c r="L1513">
        <f>HYPERLINK("https://raw.githubusercontent.com/marcosmapl/dataset_imigrantes/main/noticias_filtered/a_critica/venezuelanos/2019/04_mai/txt/1.67400_32.txt", "TXT")</f>
        <v/>
      </c>
    </row>
    <row r="1514">
      <c r="A1514" s="1" t="n">
        <v>1512</v>
      </c>
      <c r="B1514" t="n">
        <v>2019</v>
      </c>
      <c r="C1514" s="2" t="n">
        <v>43612.60093533565</v>
      </c>
      <c r="D1514" t="inlineStr">
        <is>
          <t>G1</t>
        </is>
      </c>
      <c r="E1514" t="inlineStr">
        <is>
          <t>AMBOS</t>
        </is>
      </c>
      <c r="F1514" t="inlineStr">
        <is>
          <t>RORAIMA</t>
        </is>
      </c>
      <c r="G1514" t="inlineStr">
        <is>
          <t>G1 RR — BOA VISTA</t>
        </is>
      </c>
      <c r="H1514" t="inlineStr">
        <is>
          <t>ASSALTANTE AGRIDE GRÁVIDA COM SOCO NO ROSTO E ROUBA CELULAR EM BOA VISTA</t>
        </is>
      </c>
      <c r="I1514" t="inlineStr">
        <is>
          <t>SUSPEITO TENTOU FUGIR, MAS ACABOU PRESO NA NOITE DESSE DOMINGO (26).</t>
        </is>
      </c>
      <c r="J1514">
        <f>HYPERLINK("https://g1.globo.com/rr/roraima/noticia/2019/05/27/assaltante-agride-gravida-com-soco-no-rosto-e-rouba-celular-em-boa-vista.ghtml", "URL")</f>
        <v/>
      </c>
      <c r="K1514">
        <f>HYPERLINK("https://raw.githubusercontent.com/marcosmapl/dataset_imigrantes/main/noticias_filtered/g1/ambos/2019/04_mai/html/g1_b76a5116-231e-11ed-b24f-6dbe51e79fca_3580.html", "HTML")</f>
        <v/>
      </c>
      <c r="L1514">
        <f>HYPERLINK("https://raw.githubusercontent.com/marcosmapl/dataset_imigrantes/main/noticias_filtered/g1/ambos/2019/04_mai/txt/g1_b76a5116-231e-11ed-b24f-6dbe51e79fca_3580.txt", "TXT")</f>
        <v/>
      </c>
    </row>
    <row r="1515">
      <c r="A1515" s="1" t="n">
        <v>1513</v>
      </c>
      <c r="B1515" t="n">
        <v>2019</v>
      </c>
      <c r="C1515" s="2" t="n">
        <v>43611.79966435185</v>
      </c>
      <c r="D1515" t="inlineStr">
        <is>
          <t>A CRITICA</t>
        </is>
      </c>
      <c r="E1515" t="inlineStr">
        <is>
          <t>VENEZUELANOS</t>
        </is>
      </c>
      <c r="F1515" t="inlineStr"/>
      <c r="G1515" t="inlineStr">
        <is>
          <t>REUTERS</t>
        </is>
      </c>
      <c r="H1515" t="inlineStr">
        <is>
          <t>GOVERNO VENEZUELANO E OPOSIÇÃO VOLTARÃO À NORUEGA PARA CONVERSAS</t>
        </is>
      </c>
      <c r="I1515" t="inlineStr">
        <is>
          <t>DOIS LADOS REUNIRAM-SE SEPARADAMENTE COM MEDIADORES NORUEGUESES, MAS NÃO HOUVE CONVERSAS CARA A CARA ENTRE GOVERNO E REPRESENTANTES DA OPOSIÇÃO</t>
        </is>
      </c>
      <c r="J1515">
        <f>HYPERLINK("https://www.acritica.com/governo-venezuelano-e-oposic-o-voltar-o-a-noruega-para-conversas-1.67197", "URL")</f>
        <v/>
      </c>
      <c r="K1515">
        <f>HYPERLINK("https://raw.githubusercontent.com/marcosmapl/dataset_imigrantes/main/noticias_filtered/a_critica/venezuelanos/2019/04_mai/html/1.67197_858.html", "HTML")</f>
        <v/>
      </c>
      <c r="L1515">
        <f>HYPERLINK("https://raw.githubusercontent.com/marcosmapl/dataset_imigrantes/main/noticias_filtered/a_critica/venezuelanos/2019/04_mai/txt/1.67197_858.txt", "TXT")</f>
        <v/>
      </c>
    </row>
    <row r="1516">
      <c r="A1516" s="1" t="n">
        <v>1514</v>
      </c>
      <c r="B1516" t="n">
        <v>2019</v>
      </c>
      <c r="C1516" s="2" t="n">
        <v>43610.50185185186</v>
      </c>
      <c r="D1516" t="inlineStr">
        <is>
          <t>A CRITICA</t>
        </is>
      </c>
      <c r="E1516" t="inlineStr">
        <is>
          <t>VENEZUELANOS</t>
        </is>
      </c>
      <c r="F1516" t="inlineStr"/>
      <c r="G1516" t="inlineStr"/>
      <c r="H1516" t="inlineStr">
        <is>
          <t>PREÇOS DE PASSAGENS SÃO QUESTIONADOS</t>
        </is>
      </c>
      <c r="I1516" t="inlineStr"/>
      <c r="J1516">
        <f>HYPERLINK("https://www.acritica.com/precos-de-passagens-s-o-questionados-1.226577", "URL")</f>
        <v/>
      </c>
      <c r="K1516">
        <f>HYPERLINK("https://raw.githubusercontent.com/marcosmapl/dataset_imigrantes/main/noticias_filtered/a_critica/venezuelanos/2019/04_mai/html/1.226577_185.html", "HTML")</f>
        <v/>
      </c>
      <c r="L1516">
        <f>HYPERLINK("https://raw.githubusercontent.com/marcosmapl/dataset_imigrantes/main/noticias_filtered/a_critica/venezuelanos/2019/04_mai/txt/1.226577_185.txt", "TXT")</f>
        <v/>
      </c>
    </row>
    <row r="1517">
      <c r="A1517" s="1" t="n">
        <v>1515</v>
      </c>
      <c r="B1517" t="n">
        <v>2019</v>
      </c>
      <c r="C1517" s="2" t="n">
        <v>43609.76604166667</v>
      </c>
      <c r="D1517" t="inlineStr">
        <is>
          <t>A CRITICA</t>
        </is>
      </c>
      <c r="E1517" t="inlineStr">
        <is>
          <t>VENEZUELANOS</t>
        </is>
      </c>
      <c r="F1517" t="inlineStr">
        <is>
          <t>POLICIA</t>
        </is>
      </c>
      <c r="G1517" t="inlineStr">
        <is>
          <t>MÁRCIA MONTEIRO</t>
        </is>
      </c>
      <c r="H1517" t="inlineStr">
        <is>
          <t>QUADRILHA É PRESA SUSPEITA DE ASSALTAR USUÁRIOS DE APPS DE TRANSPORTE</t>
        </is>
      </c>
      <c r="I1517" t="inlineStr">
        <is>
          <t>DOS PRESOS, DOIS SÃO SUSPEITOS DE COMETEREM OS ASSALTOS E OUTROS DOIS DE ENCOMENDAR OS CELULARES ROUBADOS DAS VÍTIMAS</t>
        </is>
      </c>
      <c r="J1517">
        <f>HYPERLINK("https://www.acritica.com/policia/quadrilha-e-presa-suspeita-de-assaltar-usuarios-de-apps-de-transporte-1.67289", "URL")</f>
        <v/>
      </c>
      <c r="K1517">
        <f>HYPERLINK("https://raw.githubusercontent.com/marcosmapl/dataset_imigrantes/main/noticias_filtered/a_critica/venezuelanos/2019/04_mai/html/1.67289_1286.html", "HTML")</f>
        <v/>
      </c>
      <c r="L1517">
        <f>HYPERLINK("https://raw.githubusercontent.com/marcosmapl/dataset_imigrantes/main/noticias_filtered/a_critica/venezuelanos/2019/04_mai/txt/1.67289_1286.txt", "TXT")</f>
        <v/>
      </c>
    </row>
    <row r="1518">
      <c r="A1518" s="1" t="n">
        <v>1516</v>
      </c>
      <c r="B1518" t="n">
        <v>2019</v>
      </c>
      <c r="C1518" s="2" t="n">
        <v>43609.57966435186</v>
      </c>
      <c r="D1518" t="inlineStr">
        <is>
          <t>A CRITICA</t>
        </is>
      </c>
      <c r="E1518" t="inlineStr">
        <is>
          <t>VENEZUELANOS</t>
        </is>
      </c>
      <c r="F1518" t="inlineStr"/>
      <c r="G1518" t="inlineStr">
        <is>
          <t>AGÊNCIA BRASIL</t>
        </is>
      </c>
      <c r="H1518" t="inlineStr">
        <is>
          <t>FILHOS DE REFUGIADOS VENEZUELANOS ESTÃO SE TORNANDO PESSOAS 'SEM NACIONALIDADES'</t>
        </is>
      </c>
      <c r="I1518" t="inlineStr">
        <is>
          <t>APROXIMADAMENTE 1,3 MILHÃO DE VENEZUELANOS SE ESTABELECERAM NA VIZINHA COLÔMBIA, FUGINDO DE UMA CRISE POLÍTICA E ECONÔMICA QUE TEM PROVOCADO GRAVE ESCASSEZ</t>
        </is>
      </c>
      <c r="J1518">
        <f>HYPERLINK("https://www.acritica.com/filhos-de-refugiados-venezuelanos-est-o-se-tornando-pessoas-sem-nacionalidades-1.67131", "URL")</f>
        <v/>
      </c>
      <c r="K1518">
        <f>HYPERLINK("https://raw.githubusercontent.com/marcosmapl/dataset_imigrantes/main/noticias_filtered/a_critica/venezuelanos/2019/04_mai/html/1.67131_291.html", "HTML")</f>
        <v/>
      </c>
      <c r="L1518">
        <f>HYPERLINK("https://raw.githubusercontent.com/marcosmapl/dataset_imigrantes/main/noticias_filtered/a_critica/venezuelanos/2019/04_mai/txt/1.67131_291.txt", "TXT")</f>
        <v/>
      </c>
    </row>
    <row r="1519">
      <c r="A1519" s="1" t="n">
        <v>1517</v>
      </c>
      <c r="B1519" t="n">
        <v>2019</v>
      </c>
      <c r="C1519" s="2" t="n">
        <v>43608.63786778935</v>
      </c>
      <c r="D1519" t="inlineStr">
        <is>
          <t>G1</t>
        </is>
      </c>
      <c r="E1519" t="inlineStr">
        <is>
          <t>HAITIANOS</t>
        </is>
      </c>
      <c r="F1519" t="inlineStr">
        <is>
          <t>BEM ESTAR</t>
        </is>
      </c>
      <c r="G1519" t="inlineStr">
        <is>
          <t>G1</t>
        </is>
      </c>
      <c r="H1519" t="inlineStr">
        <is>
          <t>O QUE FAZER PARA AJUDAR UMA MÃE QUE ENTROU EM TRABALHO DE PARTO</t>
        </is>
      </c>
      <c r="I1519" t="inlineStr">
        <is>
          <t>É MUITO IMPORTANTE LIGAR PARA O 192, 193 OU CHAMAR POLICIAIS NA RUA PARA PEDIR SOCORRO.</t>
        </is>
      </c>
      <c r="J1519">
        <f>HYPERLINK("https://g1.globo.com/bemestar/noticia/2019/05/23/o-que-fazer-para-ajudar-uma-mae-que-entrou-em-trabalho-de-parto.ghtml", "URL")</f>
        <v/>
      </c>
      <c r="K1519">
        <f>HYPERLINK("https://raw.githubusercontent.com/marcosmapl/dataset_imigrantes/main/noticias_filtered/g1/haitianos/2019/04_mai/html/g1_839d210c-2318-11ed-b24f-6dbe51e79fca_3264.html", "HTML")</f>
        <v/>
      </c>
      <c r="L1519">
        <f>HYPERLINK("https://raw.githubusercontent.com/marcosmapl/dataset_imigrantes/main/noticias_filtered/g1/haitianos/2019/04_mai/txt/g1_839d210c-2318-11ed-b24f-6dbe51e79fca_3264.txt", "TXT")</f>
        <v/>
      </c>
    </row>
    <row r="1520">
      <c r="A1520" s="1" t="n">
        <v>1518</v>
      </c>
      <c r="B1520" t="n">
        <v>2019</v>
      </c>
      <c r="C1520" s="2" t="n">
        <v>43608.59444444445</v>
      </c>
      <c r="D1520" t="inlineStr">
        <is>
          <t>A CRITICA</t>
        </is>
      </c>
      <c r="E1520" t="inlineStr">
        <is>
          <t>VENEZUELANOS</t>
        </is>
      </c>
      <c r="F1520" t="inlineStr">
        <is>
          <t>MANAUS</t>
        </is>
      </c>
      <c r="G1520" t="inlineStr">
        <is>
          <t>PORTAL A CRÍTICA</t>
        </is>
      </c>
      <c r="H1520" t="inlineStr">
        <is>
          <t>GOVERNO REALIZA AÇÃO DE CIDADANIA PARA REFUGIADOS VENEZUELANOS NO SÁBADO (25)</t>
        </is>
      </c>
      <c r="I1520" t="inlineStr">
        <is>
          <t>SERVIÇOS OFERECIDOS INCLUEM EMISSÃO DE CARTEIRA DE TRABALHO, CARTÃO SUS, TESTES RÁPIDOS, VACINAS, DISTRIBUIÇÃO DE PRESERVATIVOS E MEDICAMENTOS</t>
        </is>
      </c>
      <c r="J1520">
        <f>HYPERLINK("https://www.acritica.com/manaus/governo-realiza-ac-o-de-cidadania-para-refugiados-venezuelanos-no-sabado-25-1.65315", "URL")</f>
        <v/>
      </c>
      <c r="K1520">
        <f>HYPERLINK("https://raw.githubusercontent.com/marcosmapl/dataset_imigrantes/main/noticias_filtered/a_critica/venezuelanos/2019/04_mai/html/1.65315_913.html", "HTML")</f>
        <v/>
      </c>
      <c r="L1520">
        <f>HYPERLINK("https://raw.githubusercontent.com/marcosmapl/dataset_imigrantes/main/noticias_filtered/a_critica/venezuelanos/2019/04_mai/txt/1.65315_913.txt", "TXT")</f>
        <v/>
      </c>
    </row>
    <row r="1521">
      <c r="A1521" s="1" t="n">
        <v>1519</v>
      </c>
      <c r="B1521" t="n">
        <v>2019</v>
      </c>
      <c r="C1521" s="2" t="n">
        <v>43608.5297308912</v>
      </c>
      <c r="D1521" t="inlineStr">
        <is>
          <t>G1</t>
        </is>
      </c>
      <c r="E1521" t="inlineStr">
        <is>
          <t>VENEZUELANOS</t>
        </is>
      </c>
      <c r="F1521" t="inlineStr">
        <is>
          <t>SÃO CARLOS E ARARAQUARA</t>
        </is>
      </c>
      <c r="G1521" t="inlineStr">
        <is>
          <t>G1 SÃO CARLOS E ARARAQUARA</t>
        </is>
      </c>
      <c r="H1521" t="inlineStr">
        <is>
          <t>CHILENO E VENEZUELANO FURTAM LOJA DE CELULARES E ACABAM PRESOS EM ARARAQUARA</t>
        </is>
      </c>
      <c r="I1521" t="inlineStr">
        <is>
          <t>SUSPEITOS FORAM DETIDOS PELA POLÍCIA MILITAR NA NOITE DE QUARTA-FEIRA (22) NO CENTRO.</t>
        </is>
      </c>
      <c r="J1521">
        <f>HYPERLINK("https://g1.globo.com/sp/sao-carlos-regiao/noticia/2019/05/23/chileno-e-venezuelano-furtam-loja-de-celulares-e-acabam-presos-em-araraquara.ghtml", "URL")</f>
        <v/>
      </c>
      <c r="K1521">
        <f>HYPERLINK("https://raw.githubusercontent.com/marcosmapl/dataset_imigrantes/main/noticias_filtered/g1/venezuelanos/2019/04_mai/html/g1_c8aa7270-230b-11ed-b24f-6dbe51e79fca_2586.html", "HTML")</f>
        <v/>
      </c>
      <c r="L1521">
        <f>HYPERLINK("https://raw.githubusercontent.com/marcosmapl/dataset_imigrantes/main/noticias_filtered/g1/venezuelanos/2019/04_mai/txt/g1_c8aa7270-230b-11ed-b24f-6dbe51e79fca_2586.txt", "TXT")</f>
        <v/>
      </c>
    </row>
    <row r="1522">
      <c r="A1522" s="1" t="n">
        <v>1520</v>
      </c>
      <c r="B1522" t="n">
        <v>2019</v>
      </c>
      <c r="C1522" s="2" t="n">
        <v>43606.54451388889</v>
      </c>
      <c r="D1522" t="inlineStr">
        <is>
          <t>A CRITICA</t>
        </is>
      </c>
      <c r="E1522" t="inlineStr">
        <is>
          <t>VENEZUELANOS</t>
        </is>
      </c>
      <c r="F1522" t="inlineStr"/>
      <c r="G1522" t="inlineStr">
        <is>
          <t>REUTERS</t>
        </is>
      </c>
      <c r="H1522" t="inlineStr">
        <is>
          <t>ONU: VENEZUELANOS QUE DEIXAM O PAÍS MERECEM PROTEÇÃO COMO REFUGIADOS</t>
        </is>
      </c>
      <c r="I1522" t="inlineStr">
        <is>
          <t>O ALTO COMISSARIADO DAS NAÇÕES UNIDAS PARA OS REFUGIADOS (ACNUR) APELOU AOS PAÍSES PARA QUE NÃO DEPORTEM OU FORCEM OS VENEZUELANOS A VOLTAR PARA CASA</t>
        </is>
      </c>
      <c r="J1522">
        <f>HYPERLINK("https://www.acritica.com/onu-venezuelanos-que-deixam-o-pais-merecem-protec-o-como-refugiados-1.65478", "URL")</f>
        <v/>
      </c>
      <c r="K1522">
        <f>HYPERLINK("https://raw.githubusercontent.com/marcosmapl/dataset_imigrantes/main/noticias_filtered/a_critica/venezuelanos/2019/04_mai/html/1.65478_697.html", "HTML")</f>
        <v/>
      </c>
      <c r="L1522">
        <f>HYPERLINK("https://raw.githubusercontent.com/marcosmapl/dataset_imigrantes/main/noticias_filtered/a_critica/venezuelanos/2019/04_mai/txt/1.65478_697.txt", "TXT")</f>
        <v/>
      </c>
    </row>
    <row r="1523">
      <c r="A1523" s="1" t="n">
        <v>1521</v>
      </c>
      <c r="B1523" t="n">
        <v>2019</v>
      </c>
      <c r="C1523" s="2" t="n">
        <v>43605.76958333333</v>
      </c>
      <c r="D1523" t="inlineStr">
        <is>
          <t>A CRITICA</t>
        </is>
      </c>
      <c r="E1523" t="inlineStr">
        <is>
          <t>VENEZUELANOS</t>
        </is>
      </c>
      <c r="F1523" t="inlineStr">
        <is>
          <t>MANAUS</t>
        </is>
      </c>
      <c r="G1523" t="inlineStr">
        <is>
          <t>LARISSA CAVALCANTE</t>
        </is>
      </c>
      <c r="H1523" t="inlineStr">
        <is>
          <t>PREFEITURA VAI ALUGAR SÍTIO NA AM-010 PARA ABRIGAR INDÍGENAS WARAO</t>
        </is>
      </c>
      <c r="I1523" t="inlineStr">
        <is>
          <t>"É UM BELO SÍTIO QUE REPRODUZ O HABITAT DO QUAL VIVIAM OS ÍNDIOS WARAO", AFIRMOU O PREFEITO ARTUR NETO. MAIS DE 500 IMIGRANTES INDÍGENAS VENEZUELANOS VIVEM NOS ABRIGOS DE MANAUS</t>
        </is>
      </c>
      <c r="J1523">
        <f>HYPERLINK("https://www.acritica.com/manaus/prefeitura-vai-alugar-sitio-na-am-010-para-abrigar-indigenas-warao-1.65518", "URL")</f>
        <v/>
      </c>
      <c r="K1523">
        <f>HYPERLINK("https://raw.githubusercontent.com/marcosmapl/dataset_imigrantes/main/noticias_filtered/a_critica/venezuelanos/2019/04_mai/html/1.65518_786.html", "HTML")</f>
        <v/>
      </c>
      <c r="L1523">
        <f>HYPERLINK("https://raw.githubusercontent.com/marcosmapl/dataset_imigrantes/main/noticias_filtered/a_critica/venezuelanos/2019/04_mai/txt/1.65518_786.txt", "TXT")</f>
        <v/>
      </c>
    </row>
    <row r="1524">
      <c r="A1524" s="1" t="n">
        <v>1522</v>
      </c>
      <c r="B1524" t="n">
        <v>2019</v>
      </c>
      <c r="C1524" s="2" t="n">
        <v>43605.66483474537</v>
      </c>
      <c r="D1524" t="inlineStr">
        <is>
          <t>G1</t>
        </is>
      </c>
      <c r="E1524" t="inlineStr">
        <is>
          <t>HAITIANOS</t>
        </is>
      </c>
      <c r="F1524" t="inlineStr">
        <is>
          <t>SANTA CATARINA</t>
        </is>
      </c>
      <c r="G1524" t="inlineStr">
        <is>
          <t>G1 SC</t>
        </is>
      </c>
      <c r="H1524" t="inlineStr">
        <is>
          <t>HAITIANA ENTRA EM TRABALHO DE PARTO NA RUA E BEBÊ NASCE COM AJUDA DOS BOMBEIROS EM NAVEGANTES</t>
        </is>
      </c>
      <c r="I1524" t="inlineStr">
        <is>
          <t>APÓS SER LEVADOS PARA HOSPITAL, MÃE E RECÉM-NASCIDO RECEBERAM ATENDIMENTO E PASSAM BEM.</t>
        </is>
      </c>
      <c r="J1524">
        <f>HYPERLINK("https://g1.globo.com/sc/santa-catarina/noticia/2019/05/20/haitiana-entra-em-trabalho-de-parto-na-rua-e-bebe-nasce-com-ajuda-dos-bombeiros-em-navegantes.ghtml", "URL")</f>
        <v/>
      </c>
      <c r="K1524">
        <f>HYPERLINK("https://raw.githubusercontent.com/marcosmapl/dataset_imigrantes/main/noticias_filtered/g1/haitianos/2019/04_mai/html/g1_4c45c40e-2307-11ed-b24f-6dbe51e79fca_2309.html", "HTML")</f>
        <v/>
      </c>
      <c r="L1524">
        <f>HYPERLINK("https://raw.githubusercontent.com/marcosmapl/dataset_imigrantes/main/noticias_filtered/g1/haitianos/2019/04_mai/txt/g1_4c45c40e-2307-11ed-b24f-6dbe51e79fca_2309.txt", "TXT")</f>
        <v/>
      </c>
    </row>
    <row r="1525">
      <c r="A1525" s="1" t="n">
        <v>1523</v>
      </c>
      <c r="B1525" t="n">
        <v>2019</v>
      </c>
      <c r="C1525" s="2" t="n">
        <v>43604.86111111111</v>
      </c>
      <c r="D1525" t="inlineStr">
        <is>
          <t>A CRITICA</t>
        </is>
      </c>
      <c r="E1525" t="inlineStr">
        <is>
          <t>VENEZUELANOS</t>
        </is>
      </c>
      <c r="F1525" t="inlineStr">
        <is>
          <t>MANAUS</t>
        </is>
      </c>
      <c r="G1525" t="inlineStr">
        <is>
          <t>SUELEN GONÇALVES</t>
        </is>
      </c>
      <c r="H1525" t="inlineStr">
        <is>
          <t>SEMINÁRIO GRATUITO EM MANAUS DEBATE SITUAÇÕES DE REFUGIADOS E MIGRANTES</t>
        </is>
      </c>
      <c r="I1525" t="inlineStr">
        <is>
          <t>O MINISTRO-CONSELHEIRO DA EMBAIXADA DA FRANÇA, GILLES PECASSOU, SERÁ O REPRESENTANTE DO PAÍS NO EVENTO, ORGANIZADO EM PARCERIA COM A ACNUR. CONFIRA ENTREVISTA EXCLUSIVA</t>
        </is>
      </c>
      <c r="J1525">
        <f>HYPERLINK("https://www.acritica.com/manaus/seminario-gratuito-em-manaus-debate-situac-es-de-refugiados-e-migrantes-1.65580", "URL")</f>
        <v/>
      </c>
      <c r="K1525">
        <f>HYPERLINK("https://raw.githubusercontent.com/marcosmapl/dataset_imigrantes/main/noticias_filtered/a_critica/venezuelanos/2019/04_mai/html/1.65580_1107.html", "HTML")</f>
        <v/>
      </c>
      <c r="L1525">
        <f>HYPERLINK("https://raw.githubusercontent.com/marcosmapl/dataset_imigrantes/main/noticias_filtered/a_critica/venezuelanos/2019/04_mai/txt/1.65580_1107.txt", "TXT")</f>
        <v/>
      </c>
    </row>
    <row r="1526">
      <c r="A1526" s="1" t="n">
        <v>1524</v>
      </c>
      <c r="B1526" t="n">
        <v>2019</v>
      </c>
      <c r="C1526" s="2" t="n">
        <v>43603.81671159722</v>
      </c>
      <c r="D1526" t="inlineStr">
        <is>
          <t>G1</t>
        </is>
      </c>
      <c r="E1526" t="inlineStr">
        <is>
          <t>VENEZUELANOS</t>
        </is>
      </c>
      <c r="F1526" t="inlineStr">
        <is>
          <t>RORAIMA</t>
        </is>
      </c>
      <c r="G1526" t="inlineStr">
        <is>
          <t>G1 RR — BOA VISTA</t>
        </is>
      </c>
      <c r="H1526" t="inlineStr">
        <is>
          <t>CRIANÇA VENEZUELANA DE 11 ANOS É VÍTIMA DE TENTATIVA DE ASSÉDIO SEXUAL EM BOA VISTA</t>
        </is>
      </c>
      <c r="I1526" t="inlineStr">
        <is>
          <t>CRIME FOI IMPEDIDO POR EQUIPE DA ASSEMBLEIA LEGISLATIVA QUE FAZIA AÇÃO DE CONSCIENTIZAÇÃO JUSTAMENTE PARA COMBATER O ABUSO E EXPLORAÇÃO SEXUAL DE CRIANÇAS E ADOLESCENTES.</t>
        </is>
      </c>
      <c r="J1526">
        <f>HYPERLINK("https://g1.globo.com/rr/roraima/noticia/2019/05/18/crianca-venezuelana-de-11-anos-e-vitima-de-tentativa-de-assedio-sexual-em-boa-vista.ghtml", "URL")</f>
        <v/>
      </c>
      <c r="K1526">
        <f>HYPERLINK("https://raw.githubusercontent.com/marcosmapl/dataset_imigrantes/main/noticias_filtered/g1/venezuelanos/2019/04_mai/html/g1_3abe7362-231a-11ed-b24f-6dbe51e79fca_3323.html", "HTML")</f>
        <v/>
      </c>
      <c r="L1526">
        <f>HYPERLINK("https://raw.githubusercontent.com/marcosmapl/dataset_imigrantes/main/noticias_filtered/g1/venezuelanos/2019/04_mai/txt/g1_3abe7362-231a-11ed-b24f-6dbe51e79fca_3323.txt", "TXT")</f>
        <v/>
      </c>
    </row>
    <row r="1527">
      <c r="A1527" s="1" t="n">
        <v>1525</v>
      </c>
      <c r="B1527" t="n">
        <v>2019</v>
      </c>
      <c r="C1527" s="2" t="n">
        <v>43602.85382979167</v>
      </c>
      <c r="D1527" t="inlineStr">
        <is>
          <t>G1</t>
        </is>
      </c>
      <c r="E1527" t="inlineStr">
        <is>
          <t>HAITIANOS</t>
        </is>
      </c>
      <c r="F1527" t="inlineStr">
        <is>
          <t>CAMPINAS E REGIÃO</t>
        </is>
      </c>
      <c r="G1527" t="inlineStr">
        <is>
          <t>G1 CAMPINAS E REGIÃO</t>
        </is>
      </c>
      <c r="H1527" t="inlineStr">
        <is>
          <t>PF PRENDE HAITIANAS COM DOCUMENTO DE IMIGRAÇÃO FALSO NO AEROPORTO DE VIRACOPOS</t>
        </is>
      </c>
      <c r="I1527" t="inlineStr">
        <is>
          <t>SEGUNDO A POLÍCIA FEDERAL, AS DUAS MULHERES USAVAM UMA CERTIDÃO CONSULAR DO HAITI FALSA.</t>
        </is>
      </c>
      <c r="J1527">
        <f>HYPERLINK("https://g1.globo.com/sp/campinas-regiao/noticia/2019/05/17/pf-prende-haitianas-com-documento-de-imigracao-falso-no-aeroporto-de-viracopos.ghtml", "URL")</f>
        <v/>
      </c>
      <c r="K1527">
        <f>HYPERLINK("https://raw.githubusercontent.com/marcosmapl/dataset_imigrantes/main/noticias_filtered/g1/haitianos/2019/04_mai/html/g1_9660cab6-2307-11ed-b24f-6dbe51e79fca_2328.html", "HTML")</f>
        <v/>
      </c>
      <c r="L1527">
        <f>HYPERLINK("https://raw.githubusercontent.com/marcosmapl/dataset_imigrantes/main/noticias_filtered/g1/haitianos/2019/04_mai/txt/g1_9660cab6-2307-11ed-b24f-6dbe51e79fca_2328.txt", "TXT")</f>
        <v/>
      </c>
    </row>
    <row r="1528">
      <c r="A1528" s="1" t="n">
        <v>1526</v>
      </c>
      <c r="B1528" t="n">
        <v>2019</v>
      </c>
      <c r="C1528" s="2" t="n">
        <v>43602.73555565972</v>
      </c>
      <c r="D1528" t="inlineStr">
        <is>
          <t>G1</t>
        </is>
      </c>
      <c r="E1528" t="inlineStr">
        <is>
          <t>VENEZUELANOS</t>
        </is>
      </c>
      <c r="F1528" t="inlineStr">
        <is>
          <t>MUNDO</t>
        </is>
      </c>
      <c r="G1528" t="inlineStr">
        <is>
          <t>AGÊNCIA EFE</t>
        </is>
      </c>
      <c r="H1528" t="inlineStr">
        <is>
          <t>GENERAL DO EXÉRCITO VENEZUELANO É ENCONTRADO MORTO EM HOTEL</t>
        </is>
      </c>
      <c r="I1528" t="inlineStr">
        <is>
          <t>JESÚS HERNANDEZ ERA PRÓXIMO DE EX-DIRETOR DE SERVIÇO DE INTELIGÊNCIA, QUE FOI UM DOS LÍDERES DO LEVANTE FRACASSADO DO DIA 30 DE ABRIL.</t>
        </is>
      </c>
      <c r="J1528">
        <f>HYPERLINK("https://g1.globo.com/mundo/noticia/2019/05/17/general-do-exercito-venezuelano-e-encontrado-morto-em-hotel.ghtml", "URL")</f>
        <v/>
      </c>
      <c r="K1528">
        <f>HYPERLINK("https://raw.githubusercontent.com/marcosmapl/dataset_imigrantes/main/noticias_filtered/g1/venezuelanos/2019/04_mai/html/g1_25af94b2-232c-11ed-b24f-6dbe51e79fca_4288.html", "HTML")</f>
        <v/>
      </c>
      <c r="L1528">
        <f>HYPERLINK("https://raw.githubusercontent.com/marcosmapl/dataset_imigrantes/main/noticias_filtered/g1/venezuelanos/2019/04_mai/txt/g1_25af94b2-232c-11ed-b24f-6dbe51e79fca_4288.txt", "TXT")</f>
        <v/>
      </c>
    </row>
    <row r="1529">
      <c r="A1529" s="1" t="n">
        <v>1527</v>
      </c>
      <c r="B1529" t="n">
        <v>2019</v>
      </c>
      <c r="C1529" s="2" t="n">
        <v>43602.47707068287</v>
      </c>
      <c r="D1529" t="inlineStr">
        <is>
          <t>G1</t>
        </is>
      </c>
      <c r="E1529" t="inlineStr">
        <is>
          <t>VENEZUELANOS</t>
        </is>
      </c>
      <c r="F1529" t="inlineStr">
        <is>
          <t>MUNDO</t>
        </is>
      </c>
      <c r="G1529" t="inlineStr">
        <is>
          <t>FRANCE PRESSE</t>
        </is>
      </c>
      <c r="H1529" t="inlineStr">
        <is>
          <t>NORUEGA CONFIRMA MEDIAÇÃO ENTRE GOVERNO E OPOSIÇÃO DA VENEZUELA</t>
        </is>
      </c>
      <c r="I1529" t="inlineStr">
        <is>
          <t>SITUAÇÃO E OPOSIÇÃO VENEZUELANAS NÃO FALAM SOBRE NEGOCIAÇÕES. MADURO AFIRMA QUE MANDOU REFORÇAR A SEGURANÇA NA EMBAIXADA DOS ESTADOS UNIDOS EM CARACAS, DIAS DEPOIS DA PRISÃO DOS ÚLTIMOS ATIVISTAS QUE OCUPAVAM A EMBAIXADA VENEZUELANA EM WASHINGTON.</t>
        </is>
      </c>
      <c r="J1529">
        <f>HYPERLINK("https://g1.globo.com/mundo/noticia/2019/05/17/noruega-confirma-mediacao-entre-governo-e-oposicao-da-venezuela.ghtml", "URL")</f>
        <v/>
      </c>
      <c r="K1529">
        <f>HYPERLINK("https://raw.githubusercontent.com/marcosmapl/dataset_imigrantes/main/noticias_filtered/g1/venezuelanos/2019/04_mai/html/g1_caa3b528-231a-11ed-b24f-6dbe51e79fca_3354.html", "HTML")</f>
        <v/>
      </c>
      <c r="L1529">
        <f>HYPERLINK("https://raw.githubusercontent.com/marcosmapl/dataset_imigrantes/main/noticias_filtered/g1/venezuelanos/2019/04_mai/txt/g1_caa3b528-231a-11ed-b24f-6dbe51e79fca_3354.txt", "TXT")</f>
        <v/>
      </c>
    </row>
    <row r="1530">
      <c r="A1530" s="1" t="n">
        <v>1528</v>
      </c>
      <c r="B1530" t="n">
        <v>2019</v>
      </c>
      <c r="C1530" s="2" t="n">
        <v>43601.96501157407</v>
      </c>
      <c r="D1530" t="inlineStr">
        <is>
          <t>A CRITICA</t>
        </is>
      </c>
      <c r="E1530" t="inlineStr">
        <is>
          <t>VENEZUELANOS</t>
        </is>
      </c>
      <c r="F1530" t="inlineStr"/>
      <c r="G1530" t="inlineStr">
        <is>
          <t>AGÊNCIA BRASIL</t>
        </is>
      </c>
      <c r="H1530" t="inlineStr">
        <is>
          <t>BOLSONARO RECEBE PRÊMIO NOS EUA E DIZ QUE SER PRESIDENTE FOI 'MILAGRE'</t>
        </is>
      </c>
      <c r="I1530" t="inlineStr">
        <is>
          <t>"COM VERDADE, COMECEI ANDANDO SOZINHO POR TODO O BRASIL. ÀS VEZES, GENTE DA PRÓPRIA CASA ACHAVA QUE TINHA ALGO ERRADO COMIGO, TENDO EM VISTA O QUE EU ALMEJAVA", COMENTOU O PRESIDENTE</t>
        </is>
      </c>
      <c r="J1530">
        <f>HYPERLINK("https://www.acritica.com/bolsonaro-recebe-premio-nos-eua-e-diz-que-ser-presidente-foi-milagre-1.65755", "URL")</f>
        <v/>
      </c>
      <c r="K1530">
        <f>HYPERLINK("https://raw.githubusercontent.com/marcosmapl/dataset_imigrantes/main/noticias_filtered/a_critica/venezuelanos/2019/04_mai/html/1.65755_403.html", "HTML")</f>
        <v/>
      </c>
      <c r="L1530">
        <f>HYPERLINK("https://raw.githubusercontent.com/marcosmapl/dataset_imigrantes/main/noticias_filtered/a_critica/venezuelanos/2019/04_mai/txt/1.65755_403.txt", "TXT")</f>
        <v/>
      </c>
    </row>
    <row r="1531">
      <c r="A1531" s="1" t="n">
        <v>1529</v>
      </c>
      <c r="B1531" t="n">
        <v>2019</v>
      </c>
      <c r="C1531" s="2" t="n">
        <v>43601.71222591435</v>
      </c>
      <c r="D1531" t="inlineStr">
        <is>
          <t>G1</t>
        </is>
      </c>
      <c r="E1531" t="inlineStr">
        <is>
          <t>VENEZUELANOS</t>
        </is>
      </c>
      <c r="F1531" t="inlineStr">
        <is>
          <t>MUNDO</t>
        </is>
      </c>
      <c r="G1531" t="inlineStr">
        <is>
          <t>G1</t>
        </is>
      </c>
      <c r="H1531" t="inlineStr">
        <is>
          <t>ÚLTIMOS ATIVISTAS PRÓ-MADURO NA EMBAIXADA DA VENEZUELA NOS ESTADOS UNIDOS SÃO PRESOS</t>
        </is>
      </c>
      <c r="I1531" t="inlineStr">
        <is>
          <t>ELES OCUPAVAM O PRÉDIO HÁ CERCA DE UM MÊS. GRUPOS CONTRÁRIOS ÀS PRISÕES ALEGAM QUE ELAS VIOLAM A CONVENÇÃO DE VIENA, QUE ESTABELECE QUE MISSÕES DIPLOMÁTICAS SÃO INVIOLÁVEIS.</t>
        </is>
      </c>
      <c r="J1531">
        <f>HYPERLINK("https://g1.globo.com/mundo/noticia/2019/05/16/ultimos-ativistas-pro-maduro-na-embaixada-da-venezuela-nos-estados-unidos-sao-presos.ghtml", "URL")</f>
        <v/>
      </c>
      <c r="K1531">
        <f>HYPERLINK("https://raw.githubusercontent.com/marcosmapl/dataset_imigrantes/main/noticias_filtered/g1/venezuelanos/2019/04_mai/html/g1_d70690f6-2306-11ed-b24f-6dbe51e79fca_2281.html", "HTML")</f>
        <v/>
      </c>
      <c r="L1531">
        <f>HYPERLINK("https://raw.githubusercontent.com/marcosmapl/dataset_imigrantes/main/noticias_filtered/g1/venezuelanos/2019/04_mai/txt/g1_d70690f6-2306-11ed-b24f-6dbe51e79fca_2281.txt", "TXT")</f>
        <v/>
      </c>
    </row>
    <row r="1532">
      <c r="A1532" s="1" t="n">
        <v>1530</v>
      </c>
      <c r="B1532" t="n">
        <v>2019</v>
      </c>
      <c r="C1532" s="2" t="n">
        <v>43600.73472222222</v>
      </c>
      <c r="D1532" t="inlineStr">
        <is>
          <t>PORTAL AMAZONIA</t>
        </is>
      </c>
      <c r="E1532" t="inlineStr">
        <is>
          <t>VENEZUELANOS</t>
        </is>
      </c>
      <c r="F1532" t="inlineStr">
        <is>
          <t>CIDADES</t>
        </is>
      </c>
      <c r="G1532" t="inlineStr">
        <is>
          <t>REDAÇÃO</t>
        </is>
      </c>
      <c r="H1532" t="inlineStr">
        <is>
          <t>ANO LETIVO PARA 16 MIL ALUNOS DE COMUNIDADES INDÍGENAS DE RORAIMA COMEÇA NESTE MÊS</t>
        </is>
      </c>
      <c r="I1532" t="inlineStr">
        <is>
          <t>O ANO ESCOLAR NO ESTADO COMEÇOU EM MARÇO NAS ESCOLAS DA CAPITAL BOA VISTA E EM ABRIL NO INTERIOR, MAS DEVIDO A PROBLEMAS ENVOLVENDO O TRANSPORTE ESCOLAR, O RETORNO NÃO OCORREU EM TODAS AS UNIDADES. PARA 16 MIL ALUNOS DE COMUNIDADES INDÍGENAS, AS AULA</t>
        </is>
      </c>
      <c r="J1532">
        <f>HYPERLINK("https://portalamazonia.com/noticias/cidades/ano-letivo-para-16-mil-alunos-de-comunidades-indigenas-de-roraima-comeca-neste-mes", "URL")</f>
        <v/>
      </c>
      <c r="K1532">
        <f>HYPERLINK("https://raw.githubusercontent.com/marcosmapl/dataset_imigrantes/main/noticias_filtered/portal_amazonia/venezuelanos/2019/04_mai/html/22768.22768_1602.html", "HTML")</f>
        <v/>
      </c>
      <c r="L1532">
        <f>HYPERLINK("https://raw.githubusercontent.com/marcosmapl/dataset_imigrantes/main/noticias_filtered/portal_amazonia/venezuelanos/2019/04_mai/txt/22768.22768_1602.txt", "TXT")</f>
        <v/>
      </c>
    </row>
    <row r="1533">
      <c r="A1533" s="1" t="n">
        <v>1531</v>
      </c>
      <c r="B1533" t="n">
        <v>2019</v>
      </c>
      <c r="C1533" s="2" t="n">
        <v>43600.67510416666</v>
      </c>
      <c r="D1533" t="inlineStr">
        <is>
          <t>A CRITICA</t>
        </is>
      </c>
      <c r="E1533" t="inlineStr">
        <is>
          <t>VENEZUELANOS</t>
        </is>
      </c>
      <c r="F1533" t="inlineStr">
        <is>
          <t>MANAUS</t>
        </is>
      </c>
      <c r="G1533" t="inlineStr">
        <is>
          <t>WAL LIMA</t>
        </is>
      </c>
      <c r="H1533" t="inlineStr">
        <is>
          <t>INTERDIÇÃO DA RODOVIÁRIA VAI SER PEDIDA AO MINISTÉRIO PÚBLICO DO AMAZONAS</t>
        </is>
      </c>
      <c r="I1533" t="inlineStr">
        <is>
          <t>VEREADOR AFIRMA QUE TERMINAL RODOVIÁRIO DE MANAUS NÃO TEM CONDIÇÕES DE ATENDIMENTO DEVIDO À FALTA DE ESTRUTURA E SANEAMENTO</t>
        </is>
      </c>
      <c r="J1533">
        <f>HYPERLINK("https://www.acritica.com/manaus/interdic-o-da-rodoviaria-vai-ser-pedida-ao-ministerio-publico-do-amazonas-1.66069", "URL")</f>
        <v/>
      </c>
      <c r="K1533">
        <f>HYPERLINK("https://raw.githubusercontent.com/marcosmapl/dataset_imigrantes/main/noticias_filtered/a_critica/venezuelanos/2019/04_mai/html/1.66069_593.html", "HTML")</f>
        <v/>
      </c>
      <c r="L1533">
        <f>HYPERLINK("https://raw.githubusercontent.com/marcosmapl/dataset_imigrantes/main/noticias_filtered/a_critica/venezuelanos/2019/04_mai/txt/1.66069_593.txt", "TXT")</f>
        <v/>
      </c>
    </row>
    <row r="1534">
      <c r="A1534" s="1" t="n">
        <v>1532</v>
      </c>
      <c r="B1534" t="n">
        <v>2019</v>
      </c>
      <c r="C1534" s="2" t="n">
        <v>43600.44333412037</v>
      </c>
      <c r="D1534" t="inlineStr">
        <is>
          <t>G1</t>
        </is>
      </c>
      <c r="E1534" t="inlineStr">
        <is>
          <t>VENEZUELANOS</t>
        </is>
      </c>
      <c r="F1534" t="inlineStr">
        <is>
          <t>PERNAMBUCO</t>
        </is>
      </c>
      <c r="G1534" t="inlineStr">
        <is>
          <t>G1 PE</t>
        </is>
      </c>
      <c r="H1534" t="inlineStr">
        <is>
          <t>VENEZUELANO É PRESO COM 4 QUILOS DE COCAÍNA LÍQUIDA TENTANDO EMBARCAR PARA A EUROPA</t>
        </is>
      </c>
      <c r="I1534" t="inlineStr">
        <is>
          <t>ESSE É O TERCEIRO VENEZUELANO PRESO POR TRÁFICO DE COCAÍNA LÍQUIDA NO AEROPORTO DO RECIFE. AO TODO, 10 QUILOS DA DROGA FORAM APREENDIDAS EM MENOS DE DEZ DIAS.</t>
        </is>
      </c>
      <c r="J1534">
        <f>HYPERLINK("https://g1.globo.com/pe/pernambuco/noticia/2019/05/15/venezuelano-e-preso-com-4-quilos-de-cocaina-liquida-tentando-embarcar-para-a-europa.ghtml", "URL")</f>
        <v/>
      </c>
      <c r="K1534">
        <f>HYPERLINK("https://raw.githubusercontent.com/marcosmapl/dataset_imigrantes/main/noticias_filtered/g1/venezuelanos/2019/04_mai/html/g1_be40a446-231d-11ed-b24f-6dbe51e79fca_3518.html", "HTML")</f>
        <v/>
      </c>
      <c r="L1534">
        <f>HYPERLINK("https://raw.githubusercontent.com/marcosmapl/dataset_imigrantes/main/noticias_filtered/g1/venezuelanos/2019/04_mai/txt/g1_be40a446-231d-11ed-b24f-6dbe51e79fca_3518.txt", "TXT")</f>
        <v/>
      </c>
    </row>
    <row r="1535">
      <c r="A1535" s="1" t="n">
        <v>1533</v>
      </c>
      <c r="B1535" t="n">
        <v>2019</v>
      </c>
      <c r="C1535" s="2" t="n">
        <v>43598.77182870371</v>
      </c>
      <c r="D1535" t="inlineStr">
        <is>
          <t>A CRITICA</t>
        </is>
      </c>
      <c r="E1535" t="inlineStr">
        <is>
          <t>VENEZUELANOS</t>
        </is>
      </c>
      <c r="F1535" t="inlineStr"/>
      <c r="G1535" t="inlineStr">
        <is>
          <t>LARISSA CAVALCANTE</t>
        </is>
      </c>
      <c r="H1535" t="inlineStr">
        <is>
          <t>INFORMALIDADE DE EMPREGADAS DOMÉSTICAS CRESCEU 16% NO AM NOS ÚLTIMOS 2 ANOS</t>
        </is>
      </c>
      <c r="I1535" t="inlineStr">
        <is>
          <t>FAMÍLIAS BUSCAM DIARISTAS E ATÉ IMIGRANTES SEIS ANOS APÓS LEI QUE GARANTIU DIREITOS TRABALHISTAS AOS TRABALHADORES DOMÉSTICOS TER SIDO SANCIONADA</t>
        </is>
      </c>
      <c r="J1535">
        <f>HYPERLINK("https://www.acritica.com/informalidade-de-empregadas-domesticas-cresceu-16-no-am-nos-ultimos-2-anos-1.66148", "URL")</f>
        <v/>
      </c>
      <c r="K1535">
        <f>HYPERLINK("https://raw.githubusercontent.com/marcosmapl/dataset_imigrantes/main/noticias_filtered/a_critica/venezuelanos/2019/04_mai/html/1.66148_243.html", "HTML")</f>
        <v/>
      </c>
      <c r="L1535">
        <f>HYPERLINK("https://raw.githubusercontent.com/marcosmapl/dataset_imigrantes/main/noticias_filtered/a_critica/venezuelanos/2019/04_mai/txt/1.66148_243.txt", "TXT")</f>
        <v/>
      </c>
    </row>
    <row r="1536">
      <c r="A1536" s="1" t="n">
        <v>1534</v>
      </c>
      <c r="B1536" t="n">
        <v>2019</v>
      </c>
      <c r="C1536" s="2" t="n">
        <v>43598.74266849537</v>
      </c>
      <c r="D1536" t="inlineStr">
        <is>
          <t>G1</t>
        </is>
      </c>
      <c r="E1536" t="inlineStr">
        <is>
          <t>VENEZUELANOS</t>
        </is>
      </c>
      <c r="F1536" t="inlineStr">
        <is>
          <t>RIO GRANDE DO NORTE</t>
        </is>
      </c>
      <c r="G1536" t="inlineStr">
        <is>
          <t>EMMILY VIRGÍLIO, G1 RN</t>
        </is>
      </c>
      <c r="H1536" t="inlineStr">
        <is>
          <t>'MINHA VIDA VAI SER AQUI', DIZ AUDITORA FISCAL VENEZUELANA QUE VIROU GARÇONETE NO BRASIL</t>
        </is>
      </c>
      <c r="I1536" t="inlineStr">
        <is>
          <t>ATENDIDAS POR PROGRAMA DE INTERIORIZAÇÃO, FAMÍLIAS AINDA BUSCAM EMPREGO NO INTERIOR DO RN. MAIS DE 5,6 MIL VENEZUELANOS ESTÃO ESPALHADOS EM 17 ESTADOS BRASILEIROS.</t>
        </is>
      </c>
      <c r="J1536">
        <f>HYPERLINK("https://g1.globo.com/rn/rio-grande-do-norte/noticia/2019/05/13/minha-vida-vai-ser-aqui-diz-auditora-fiscal-venezuelana-que-virou-garconete-no-brasil.ghtml", "URL")</f>
        <v/>
      </c>
      <c r="K1536">
        <f>HYPERLINK("https://raw.githubusercontent.com/marcosmapl/dataset_imigrantes/main/noticias_filtered/g1/venezuelanos/2019/04_mai/html/g1_04d32a44-2316-11ed-b24f-6dbe51e79fca_3121.html", "HTML")</f>
        <v/>
      </c>
      <c r="L1536">
        <f>HYPERLINK("https://raw.githubusercontent.com/marcosmapl/dataset_imigrantes/main/noticias_filtered/g1/venezuelanos/2019/04_mai/txt/g1_04d32a44-2316-11ed-b24f-6dbe51e79fca_3121.txt", "TXT")</f>
        <v/>
      </c>
    </row>
    <row r="1537">
      <c r="A1537" s="1" t="n">
        <v>1535</v>
      </c>
      <c r="B1537" t="n">
        <v>2019</v>
      </c>
      <c r="C1537" s="2" t="n">
        <v>43598.48505766204</v>
      </c>
      <c r="D1537" t="inlineStr">
        <is>
          <t>G1</t>
        </is>
      </c>
      <c r="E1537" t="inlineStr">
        <is>
          <t>VENEZUELANOS</t>
        </is>
      </c>
      <c r="F1537" t="inlineStr">
        <is>
          <t>MUNDO</t>
        </is>
      </c>
      <c r="G1537" t="inlineStr">
        <is>
          <t>REUTERS</t>
        </is>
      </c>
      <c r="H1537" t="inlineStr">
        <is>
          <t>'É HORA DE SE LEVANTAR', DIZ GENERAL VENEZUELANO A MILITARES EM VÍDEO</t>
        </is>
      </c>
      <c r="I1537" t="inlineStr">
        <is>
          <t>MILITAR DIZ QUE VENEZUELA É COMANDADA POR COMUNISTAS CUBANOS.</t>
        </is>
      </c>
      <c r="J1537">
        <f>HYPERLINK("https://g1.globo.com/mundo/noticia/2019/05/13/e-hora-de-se-levantar-diz-general-da-venezuela-a-militares-em-video.ghtml", "URL")</f>
        <v/>
      </c>
      <c r="K1537">
        <f>HYPERLINK("https://raw.githubusercontent.com/marcosmapl/dataset_imigrantes/main/noticias_filtered/g1/venezuelanos/2019/04_mai/html/g1_af5614da-2321-11ed-b24f-6dbe51e79fca_3713.html", "HTML")</f>
        <v/>
      </c>
      <c r="L1537">
        <f>HYPERLINK("https://raw.githubusercontent.com/marcosmapl/dataset_imigrantes/main/noticias_filtered/g1/venezuelanos/2019/04_mai/txt/g1_af5614da-2321-11ed-b24f-6dbe51e79fca_3713.txt", "TXT")</f>
        <v/>
      </c>
    </row>
    <row r="1538">
      <c r="A1538" s="1" t="n">
        <v>1536</v>
      </c>
      <c r="B1538" t="n">
        <v>2019</v>
      </c>
      <c r="C1538" s="2" t="n">
        <v>43597.72025462963</v>
      </c>
      <c r="D1538" t="inlineStr">
        <is>
          <t>A CRITICA</t>
        </is>
      </c>
      <c r="E1538" t="inlineStr">
        <is>
          <t>VENEZUELANOS</t>
        </is>
      </c>
      <c r="F1538" t="inlineStr"/>
      <c r="G1538" t="inlineStr">
        <is>
          <t>AGÊNCIA BRASIL</t>
        </is>
      </c>
      <c r="H1538" t="inlineStr">
        <is>
          <t>JUAN GUAIDÓ BUSCA AJUDA DOS EUA PARA RESOLVER CRISE NA VENEZUELA</t>
        </is>
      </c>
      <c r="I1538" t="inlineStr">
        <is>
          <t>CRAIG FALLER, UM DOS LÍDERES DO DEPARTAMENTO DE DEFESA ESTADUNIDENSE, JÁ OFERECEU AJUDA AO OPOSITOR VENEZUELANO</t>
        </is>
      </c>
      <c r="J1538">
        <f>HYPERLINK("https://www.acritica.com/juan-guaido-busca-ajuda-dos-eua-para-resolver-crise-na-venezuela-1.69482", "URL")</f>
        <v/>
      </c>
      <c r="K1538">
        <f>HYPERLINK("https://raw.githubusercontent.com/marcosmapl/dataset_imigrantes/main/noticias_filtered/a_critica/venezuelanos/2019/04_mai/html/1.69482_1141.html", "HTML")</f>
        <v/>
      </c>
      <c r="L1538">
        <f>HYPERLINK("https://raw.githubusercontent.com/marcosmapl/dataset_imigrantes/main/noticias_filtered/a_critica/venezuelanos/2019/04_mai/txt/1.69482_1141.txt", "TXT")</f>
        <v/>
      </c>
    </row>
    <row r="1539">
      <c r="A1539" s="1" t="n">
        <v>1537</v>
      </c>
      <c r="B1539" t="n">
        <v>2019</v>
      </c>
      <c r="C1539" s="2" t="n">
        <v>43596.88368055555</v>
      </c>
      <c r="D1539" t="inlineStr">
        <is>
          <t>A CRITICA</t>
        </is>
      </c>
      <c r="E1539" t="inlineStr">
        <is>
          <t>VENEZUELANOS</t>
        </is>
      </c>
      <c r="F1539" t="inlineStr"/>
      <c r="G1539" t="inlineStr">
        <is>
          <t>AGÊNCIA BRASIL</t>
        </is>
      </c>
      <c r="H1539" t="inlineStr">
        <is>
          <t>BRASIL REGISTRA ENTRADA DE 893 VENEZUELANOS APÓS A REABERTURA DA FRONTEIRA</t>
        </is>
      </c>
      <c r="I1539" t="inlineStr">
        <is>
          <t>COM A REABERTURA, MUITOS VENEZUELANOS TAMBÉM APROVEITARAM PARA COMPRAR ALIMENTOS EM PACARAIMA (RR), CIDADE BRASILEIRA MAIS PRÓXIMA DA FRONTEIRA COM A VENEZUELA</t>
        </is>
      </c>
      <c r="J1539">
        <f>HYPERLINK("https://www.acritica.com/brasil-registra-entrada-de-893-venezuelanos-apos-a-reabertura-da-fronteira-1.69498", "URL")</f>
        <v/>
      </c>
      <c r="K1539">
        <f>HYPERLINK("https://raw.githubusercontent.com/marcosmapl/dataset_imigrantes/main/noticias_filtered/a_critica/venezuelanos/2019/04_mai/html/1.69498_1102.html", "HTML")</f>
        <v/>
      </c>
      <c r="L1539">
        <f>HYPERLINK("https://raw.githubusercontent.com/marcosmapl/dataset_imigrantes/main/noticias_filtered/a_critica/venezuelanos/2019/04_mai/txt/1.69498_1102.txt", "TXT")</f>
        <v/>
      </c>
    </row>
    <row r="1540">
      <c r="A1540" s="1" t="n">
        <v>1538</v>
      </c>
      <c r="B1540" t="n">
        <v>2019</v>
      </c>
      <c r="C1540" s="2" t="n">
        <v>43596.70772730324</v>
      </c>
      <c r="D1540" t="inlineStr">
        <is>
          <t>G1</t>
        </is>
      </c>
      <c r="E1540" t="inlineStr">
        <is>
          <t>VENEZUELANOS</t>
        </is>
      </c>
      <c r="F1540" t="inlineStr">
        <is>
          <t>MUNDO</t>
        </is>
      </c>
      <c r="G1540" t="inlineStr">
        <is>
          <t>FRANCE PRESSE</t>
        </is>
      </c>
      <c r="H1540" t="inlineStr">
        <is>
          <t>OPOSITORES VENEZUELANOS PROTESTAM APÓS OFENSIVA DE MADURO CONTRA ASSEMBLEIA</t>
        </is>
      </c>
      <c r="I1540" t="inlineStr">
        <is>
          <t>MANIFESTAÇÃO ACONTECE DIAS DEPOIS DO FRACASSO DE UMA REBELIÃO MILITAR ANUNCIADA PELO LÍDER DA OPOSIÇÃO QUE TENTAVA TIRAR DO PODER O PRESIDENTE VENEZUELANO, NICOLÁS MADURO.</t>
        </is>
      </c>
      <c r="J1540">
        <f>HYPERLINK("https://g1.globo.com/mundo/noticia/2019/05/11/opositores-venezuelanos-protestam-em-repudio-a-ofensiva-de-maduro.ghtml", "URL")</f>
        <v/>
      </c>
      <c r="K1540">
        <f>HYPERLINK("https://raw.githubusercontent.com/marcosmapl/dataset_imigrantes/main/noticias_filtered/g1/venezuelanos/2019/04_mai/html/g1_3be691d8-232a-11ed-b24f-6dbe51e79fca_4165.html", "HTML")</f>
        <v/>
      </c>
      <c r="L1540">
        <f>HYPERLINK("https://raw.githubusercontent.com/marcosmapl/dataset_imigrantes/main/noticias_filtered/g1/venezuelanos/2019/04_mai/txt/g1_3be691d8-232a-11ed-b24f-6dbe51e79fca_4165.txt", "TXT")</f>
        <v/>
      </c>
    </row>
    <row r="1541">
      <c r="A1541" s="1" t="n">
        <v>1539</v>
      </c>
      <c r="B1541" t="n">
        <v>2019</v>
      </c>
      <c r="C1541" s="2" t="n">
        <v>43595.63189170139</v>
      </c>
      <c r="D1541" t="inlineStr">
        <is>
          <t>G1</t>
        </is>
      </c>
      <c r="E1541" t="inlineStr">
        <is>
          <t>HAITIANOS</t>
        </is>
      </c>
      <c r="F1541" t="inlineStr">
        <is>
          <t>MATO GROSSO</t>
        </is>
      </c>
      <c r="G1541" t="inlineStr">
        <is>
          <t>CINTHYA ROCHA, TV CENTRO AMÉRICA</t>
        </is>
      </c>
      <c r="H1541" t="inlineStr">
        <is>
          <t>CANTORES HAITIANOS FAZEM SHOW EM CUIABÁ E RENDA SERÁ DOADA A ONG</t>
        </is>
      </c>
      <c r="I1541" t="inlineStr">
        <is>
          <t>INGRESSOS SÃO VENDIDOS A R$ 20. A ATRAÇÃO PRINCIPAL DO EVENTO SERÁ O HAITIANO E EX THE VOICE BRASIL, GUIPSON PIERRE.</t>
        </is>
      </c>
      <c r="J1541">
        <f>HYPERLINK("https://g1.globo.com/mt/mato-grosso/noticia/2019/05/10/cantores-haitianos-fazem-show-em-cuiaba-e-renda-sera-doada-a-ong-que-cuida-de-animais-resgatados-das-ruas.ghtml", "URL")</f>
        <v/>
      </c>
      <c r="K1541">
        <f>HYPERLINK("https://raw.githubusercontent.com/marcosmapl/dataset_imigrantes/main/noticias_filtered/g1/haitianos/2019/04_mai/html/g1_cf16e1dc-22f4-11ed-b24f-6dbe51e79fca_1911.html", "HTML")</f>
        <v/>
      </c>
      <c r="L1541">
        <f>HYPERLINK("https://raw.githubusercontent.com/marcosmapl/dataset_imigrantes/main/noticias_filtered/g1/haitianos/2019/04_mai/txt/g1_cf16e1dc-22f4-11ed-b24f-6dbe51e79fca_1911.txt", "TXT")</f>
        <v/>
      </c>
    </row>
    <row r="1542">
      <c r="A1542" s="1" t="n">
        <v>1540</v>
      </c>
      <c r="B1542" t="n">
        <v>2019</v>
      </c>
      <c r="C1542" s="2" t="n">
        <v>43595.55087962963</v>
      </c>
      <c r="D1542" t="inlineStr">
        <is>
          <t>A CRITICA</t>
        </is>
      </c>
      <c r="E1542" t="inlineStr">
        <is>
          <t>VENEZUELANOS</t>
        </is>
      </c>
      <c r="F1542" t="inlineStr"/>
      <c r="G1542" t="inlineStr">
        <is>
          <t>REUTERS</t>
        </is>
      </c>
      <c r="H1542" t="inlineStr">
        <is>
          <t>GUAIDÓ DIZ QUE PROVAVELMENTE ACEITARIA PROPOSTA DE INTERVENÇÃO MILITAR DOS EUA</t>
        </is>
      </c>
      <c r="I1542" t="inlineStr">
        <is>
          <t>"SE OS AMERICANOS PROPUSESSEM UMA INTERVENÇÃO MILITAR, EU PROVAVELMENTE ACEITARIA", DISSE GUAIDÓ EM UMA ENTREVISTA AO JORNAL ITALIANO LA STAMPA</t>
        </is>
      </c>
      <c r="J1542">
        <f>HYPERLINK("https://www.acritica.com/guaido-diz-que-provavelmente-aceitaria-proposta-de-intervenc-o-militar-dos-eua-1.69556", "URL")</f>
        <v/>
      </c>
      <c r="K1542">
        <f>HYPERLINK("https://raw.githubusercontent.com/marcosmapl/dataset_imigrantes/main/noticias_filtered/a_critica/venezuelanos/2019/04_mai/html/1.69556_1053.html", "HTML")</f>
        <v/>
      </c>
      <c r="L1542">
        <f>HYPERLINK("https://raw.githubusercontent.com/marcosmapl/dataset_imigrantes/main/noticias_filtered/a_critica/venezuelanos/2019/04_mai/txt/1.69556_1053.txt", "TXT")</f>
        <v/>
      </c>
    </row>
    <row r="1543">
      <c r="A1543" s="1" t="n">
        <v>1541</v>
      </c>
      <c r="B1543" t="n">
        <v>2019</v>
      </c>
      <c r="C1543" s="2" t="n">
        <v>43595.46447581019</v>
      </c>
      <c r="D1543" t="inlineStr">
        <is>
          <t>G1</t>
        </is>
      </c>
      <c r="E1543" t="inlineStr">
        <is>
          <t>HAITIANOS</t>
        </is>
      </c>
      <c r="F1543" t="inlineStr">
        <is>
          <t>SANTA CATARINA</t>
        </is>
      </c>
      <c r="G1543" t="inlineStr">
        <is>
          <t>NSC TV</t>
        </is>
      </c>
      <c r="H1543" t="inlineStr">
        <is>
          <t>CORPO DE HAITIANA DESAPARECIDA HÁ TRÊS DIAS É ENCONTRADO EM CHÁCARA NO SUL DE SC</t>
        </is>
      </c>
      <c r="I1543" t="inlineStr">
        <is>
          <t>VÍTIMA FOI IDENTIFICADA E TEM 26 ANOS. EM TRÊS DIAS, É O SEGUNDO CASO DE MULHER ENCONTRADA MORTA, NO SUL CATARINENSE.</t>
        </is>
      </c>
      <c r="J1543">
        <f>HYPERLINK("https://g1.globo.com/sc/santa-catarina/noticia/2019/05/10/corpo-de-haitiana-desaparecida-ha-tres-dias-e-encontrado-em-chacara-no-sul-de-sc.ghtml", "URL")</f>
        <v/>
      </c>
      <c r="K1543">
        <f>HYPERLINK("https://raw.githubusercontent.com/marcosmapl/dataset_imigrantes/main/noticias_filtered/g1/haitianos/2019/04_mai/html/g1_412b5fc0-231b-11ed-b24f-6dbe51e79fca_3374.html", "HTML")</f>
        <v/>
      </c>
      <c r="L1543">
        <f>HYPERLINK("https://raw.githubusercontent.com/marcosmapl/dataset_imigrantes/main/noticias_filtered/g1/haitianos/2019/04_mai/txt/g1_412b5fc0-231b-11ed-b24f-6dbe51e79fca_3374.txt", "TXT")</f>
        <v/>
      </c>
    </row>
    <row r="1544">
      <c r="A1544" s="1" t="n">
        <v>1542</v>
      </c>
      <c r="B1544" t="n">
        <v>2019</v>
      </c>
      <c r="C1544" s="2" t="n">
        <v>43595.02608359954</v>
      </c>
      <c r="D1544" t="inlineStr">
        <is>
          <t>G1</t>
        </is>
      </c>
      <c r="E1544" t="inlineStr">
        <is>
          <t>VENEZUELANOS</t>
        </is>
      </c>
      <c r="F1544" t="inlineStr">
        <is>
          <t>MUNDO</t>
        </is>
      </c>
      <c r="G1544" t="inlineStr">
        <is>
          <t>G1</t>
        </is>
      </c>
      <c r="H1544" t="inlineStr">
        <is>
          <t>EMBAIXADA DA VENEZUELA NOS EUA TEM OCUPAÇÃO, PIQUETES, PRISÕES E LUZ CORTADA</t>
        </is>
      </c>
      <c r="I1544" t="inlineStr">
        <is>
          <t>TODOS OS MANIFESTANTES QUE OCUPAM O PRÉDIO SÃO NORTE-AMERICANOS AUTORIZADOS POR NICOLÁS MADURO, SEGUNDO AGÊNCIA. GRUPO QUER EVITAR ENTRADA DE DELEGAÇÃO APONTADA POR JUAN GUAIDÓ.</t>
        </is>
      </c>
      <c r="J1544">
        <f>HYPERLINK("https://g1.globo.com/mundo/noticia/2019/05/09/embaixada-da-venezuela-nos-eua-tem-ocupacao-piquetes-prisoes-e-luz-cortada.ghtml", "URL")</f>
        <v/>
      </c>
      <c r="K1544">
        <f>HYPERLINK("https://raw.githubusercontent.com/marcosmapl/dataset_imigrantes/main/noticias_filtered/g1/venezuelanos/2019/04_mai/html/g1_e29aec9e-2317-11ed-b24f-6dbe51e79fca_3232.html", "HTML")</f>
        <v/>
      </c>
      <c r="L1544">
        <f>HYPERLINK("https://raw.githubusercontent.com/marcosmapl/dataset_imigrantes/main/noticias_filtered/g1/venezuelanos/2019/04_mai/txt/g1_e29aec9e-2317-11ed-b24f-6dbe51e79fca_3232.txt", "TXT")</f>
        <v/>
      </c>
    </row>
    <row r="1545">
      <c r="A1545" s="1" t="n">
        <v>1543</v>
      </c>
      <c r="B1545" t="n">
        <v>2019</v>
      </c>
      <c r="C1545" s="2" t="n">
        <v>43594.49228766204</v>
      </c>
      <c r="D1545" t="inlineStr">
        <is>
          <t>G1</t>
        </is>
      </c>
      <c r="E1545" t="inlineStr">
        <is>
          <t>VENEZUELANOS</t>
        </is>
      </c>
      <c r="F1545" t="inlineStr">
        <is>
          <t>AMAZONAS</t>
        </is>
      </c>
      <c r="G1545" t="inlineStr">
        <is>
          <t>G1 AM</t>
        </is>
      </c>
      <c r="H1545" t="inlineStr">
        <is>
          <t>VENEZUELANO É FLAGRADO COM 1,5 KG DE DROGAS PRESAS AO CORPO, NO AEROPORTO DE MANAUS</t>
        </is>
      </c>
      <c r="I1545" t="inlineStr">
        <is>
          <t>PASSAGEIRO CONFESSOU, AINDA, TER INGERIDO 35 CÁPSULAS DE DROGA.</t>
        </is>
      </c>
      <c r="J1545">
        <f>HYPERLINK("https://g1.globo.com/am/amazonas/noticia/2019/05/09/venezuelano-e-flagrado-com-15-kg-de-drogas-presas-ao-corpo-no-aeroporto-de-manaus.ghtml", "URL")</f>
        <v/>
      </c>
      <c r="K1545">
        <f>HYPERLINK("https://raw.githubusercontent.com/marcosmapl/dataset_imigrantes/main/noticias_filtered/g1/venezuelanos/2019/04_mai/html/g1_1978d2f0-232a-11ed-b24f-6dbe51e79fca_4157.html", "HTML")</f>
        <v/>
      </c>
      <c r="L1545">
        <f>HYPERLINK("https://raw.githubusercontent.com/marcosmapl/dataset_imigrantes/main/noticias_filtered/g1/venezuelanos/2019/04_mai/txt/g1_1978d2f0-232a-11ed-b24f-6dbe51e79fca_4157.txt", "TXT")</f>
        <v/>
      </c>
    </row>
    <row r="1546">
      <c r="A1546" s="1" t="n">
        <v>1544</v>
      </c>
      <c r="B1546" t="n">
        <v>2019</v>
      </c>
      <c r="C1546" s="2" t="n">
        <v>43594.43422052083</v>
      </c>
      <c r="D1546" t="inlineStr">
        <is>
          <t>G1</t>
        </is>
      </c>
      <c r="E1546" t="inlineStr">
        <is>
          <t>HAITIANOS</t>
        </is>
      </c>
      <c r="F1546" t="inlineStr">
        <is>
          <t>ITAPETININGA E REGIÃO</t>
        </is>
      </c>
      <c r="G1546" t="inlineStr">
        <is>
          <t>G1 ITAPETININGA E REGIÃO</t>
        </is>
      </c>
      <c r="H1546" t="inlineStr">
        <is>
          <t>PROFESSOR APOSENTADO ENSINA LÍNGUA PORTUGUESA PARA IMIGRANTES HAITIANOS NO INTERIOR DE SP</t>
        </is>
      </c>
      <c r="I1546" t="inlineStr">
        <is>
          <t>ANTONIO MARMO ALEXANDRINI, DE PEREIRAS (SP), DEU AULA DURANTE 36 ANOS E AGORA SEU OBJETIVO É ALFABETIZAR VOLUNTARIAMENTE CERCA DE 31 IMIGRANTES.</t>
        </is>
      </c>
      <c r="J1546">
        <f>HYPERLINK("https://g1.globo.com/sp/itapetininga-regiao/noticia/2019/05/09/professor-aposentado-ensina-lingua-portuguesa-para-imigrantes-haitianos-no-interior-de-sp.ghtml", "URL")</f>
        <v/>
      </c>
      <c r="K1546">
        <f>HYPERLINK("https://raw.githubusercontent.com/marcosmapl/dataset_imigrantes/main/noticias_filtered/g1/haitianos/2019/04_mai/html/g1_3445208e-22f3-11ed-b24f-6dbe51e79fca_1829.html", "HTML")</f>
        <v/>
      </c>
      <c r="L1546">
        <f>HYPERLINK("https://raw.githubusercontent.com/marcosmapl/dataset_imigrantes/main/noticias_filtered/g1/haitianos/2019/04_mai/txt/g1_3445208e-22f3-11ed-b24f-6dbe51e79fca_1829.txt", "TXT")</f>
        <v/>
      </c>
    </row>
    <row r="1547">
      <c r="A1547" s="1" t="n">
        <v>1545</v>
      </c>
      <c r="B1547" t="n">
        <v>2019</v>
      </c>
      <c r="C1547" s="2" t="n">
        <v>43593.37579493056</v>
      </c>
      <c r="D1547" t="inlineStr">
        <is>
          <t>G1</t>
        </is>
      </c>
      <c r="E1547" t="inlineStr">
        <is>
          <t>VENEZUELANOS</t>
        </is>
      </c>
      <c r="F1547" t="inlineStr">
        <is>
          <t>RORAIMA</t>
        </is>
      </c>
      <c r="G1547" t="inlineStr">
        <is>
          <t>EMILY COSTA, G1 RR — PACARAIMA</t>
        </is>
      </c>
      <c r="H1547" t="inlineStr">
        <is>
          <t>CRIANÇAS VENEZUELANAS SE ARRISCAM A CRUZAR ROTAS ILEGAIS PARA ESTUDAR NO BRASIL</t>
        </is>
      </c>
      <c r="I1547" t="inlineStr">
        <is>
          <t>COM FRONTEIRA FECHADA HÁ 2 MESES, ALUNOS SE VEEM FORÇADOS A USAR TRILHAS PARA ESTUDAR NA CIDADE BRASILEIRA DE PACARAIMA. ALÉM DE AULAS, MERENDA ESCOLAR TAMBÉM ATRAI VENEZUELANOS: 'PEDEM COMIDA PARA LEVAR PARA CASA'.</t>
        </is>
      </c>
      <c r="J1547">
        <f>HYPERLINK("https://g1.globo.com/rr/roraima/noticia/2019/05/08/criancas-venezuelanas-se-arriscam-a-cruzar-rotas-ilegais-para-estudar-no-brasil.ghtml", "URL")</f>
        <v/>
      </c>
      <c r="K1547">
        <f>HYPERLINK("https://raw.githubusercontent.com/marcosmapl/dataset_imigrantes/main/noticias_filtered/g1/venezuelanos/2019/04_mai/html/g1_7efc2318-231e-11ed-b24f-6dbe51e79fca_3565.html", "HTML")</f>
        <v/>
      </c>
      <c r="L1547">
        <f>HYPERLINK("https://raw.githubusercontent.com/marcosmapl/dataset_imigrantes/main/noticias_filtered/g1/venezuelanos/2019/04_mai/txt/g1_7efc2318-231e-11ed-b24f-6dbe51e79fca_3565.txt", "TXT")</f>
        <v/>
      </c>
    </row>
    <row r="1548">
      <c r="A1548" s="1" t="n">
        <v>1546</v>
      </c>
      <c r="B1548" t="n">
        <v>2019</v>
      </c>
      <c r="C1548" s="2" t="n">
        <v>43592.91718915509</v>
      </c>
      <c r="D1548" t="inlineStr">
        <is>
          <t>G1</t>
        </is>
      </c>
      <c r="E1548" t="inlineStr">
        <is>
          <t>VENEZUELANOS</t>
        </is>
      </c>
      <c r="F1548" t="inlineStr">
        <is>
          <t>MUNDO</t>
        </is>
      </c>
      <c r="G1548" t="inlineStr">
        <is>
          <t>FRANCE PRESSE</t>
        </is>
      </c>
      <c r="H1548" t="inlineStr">
        <is>
          <t>EUA RETIRAM SANÇÕES A EX-CHEFE DE INTELIGÊNCIA VENEZUELANO APÓS DESERÇÃO</t>
        </is>
      </c>
      <c r="I1548" t="inlineStr">
        <is>
          <t>VICE MIKE PENCE TAMBÉM ANUNCIOU QUE NAVIO HOSPITAL VOLTARÁ A ÁGUAS PRÓXIMAS À VENEZUELA PARA AJUDAR PAÍSES VIZINHOS QUE RECEBERAM IMIGRANTES VENEZUELANOS.</t>
        </is>
      </c>
      <c r="J1548">
        <f>HYPERLINK("https://g1.globo.com/mundo/noticia/2019/05/07/eua-retiram-sancoes-a-ex-chefe-de-inteligencia-venezuelano-apos-desercao.ghtml", "URL")</f>
        <v/>
      </c>
      <c r="K1548">
        <f>HYPERLINK("https://raw.githubusercontent.com/marcosmapl/dataset_imigrantes/main/noticias_filtered/g1/venezuelanos/2019/04_mai/html/g1_5033b46a-2323-11ed-b24f-6dbe51e79fca_3799.html", "HTML")</f>
        <v/>
      </c>
      <c r="L1548">
        <f>HYPERLINK("https://raw.githubusercontent.com/marcosmapl/dataset_imigrantes/main/noticias_filtered/g1/venezuelanos/2019/04_mai/txt/g1_5033b46a-2323-11ed-b24f-6dbe51e79fca_3799.txt", "TXT")</f>
        <v/>
      </c>
    </row>
    <row r="1549">
      <c r="A1549" s="1" t="n">
        <v>1547</v>
      </c>
      <c r="B1549" t="n">
        <v>2019</v>
      </c>
      <c r="C1549" s="2" t="n">
        <v>43592.89513888889</v>
      </c>
      <c r="D1549" t="inlineStr">
        <is>
          <t>A CRITICA</t>
        </is>
      </c>
      <c r="E1549" t="inlineStr">
        <is>
          <t>VENEZUELANOS</t>
        </is>
      </c>
      <c r="F1549" t="inlineStr">
        <is>
          <t>MANAUS</t>
        </is>
      </c>
      <c r="G1549" t="inlineStr">
        <is>
          <t>SUELEN GONÇALVES</t>
        </is>
      </c>
      <c r="H1549" t="inlineStr">
        <is>
          <t>MPF RECOMENDA QUE PREFEITURA MUDE FORMA DE ABRIGO DE INDÍGENAS WARAO</t>
        </is>
      </c>
      <c r="I1549" t="inlineStr">
        <is>
          <t>O MINISTÉRIO PÚBLICO SUGERE QUE OS VENEZUELANOS EM MANAUS SEJAM LEVADOS PARA VIVER EM GRUPOS FAMILIARES EM CASAS E DE ACORDO COM AFINIDADES. HOJE, 761 INDÍGENAS WARAO ESTÃO EM ABRIGOS NA CAPITAL</t>
        </is>
      </c>
      <c r="J1549">
        <f>HYPERLINK("https://www.acritica.com/manaus/mpf-recomenda-que-prefeitura-mude-forma-de-abrigo-de-indigenas-warao-1.68203", "URL")</f>
        <v/>
      </c>
      <c r="K1549">
        <f>HYPERLINK("https://raw.githubusercontent.com/marcosmapl/dataset_imigrantes/main/noticias_filtered/a_critica/venezuelanos/2019/04_mai/html/1.68203_1056.html", "HTML")</f>
        <v/>
      </c>
      <c r="L1549">
        <f>HYPERLINK("https://raw.githubusercontent.com/marcosmapl/dataset_imigrantes/main/noticias_filtered/a_critica/venezuelanos/2019/04_mai/txt/1.68203_1056.txt", "TXT")</f>
        <v/>
      </c>
    </row>
    <row r="1550">
      <c r="A1550" s="1" t="n">
        <v>1548</v>
      </c>
      <c r="B1550" t="n">
        <v>2019</v>
      </c>
      <c r="C1550" s="2" t="n">
        <v>43592.40932822917</v>
      </c>
      <c r="D1550" t="inlineStr">
        <is>
          <t>G1</t>
        </is>
      </c>
      <c r="E1550" t="inlineStr">
        <is>
          <t>VENEZUELANOS</t>
        </is>
      </c>
      <c r="F1550" t="inlineStr">
        <is>
          <t>PERNAMBUCO</t>
        </is>
      </c>
      <c r="G1550" t="inlineStr">
        <is>
          <t>G1 PE</t>
        </is>
      </c>
      <c r="H1550" t="inlineStr">
        <is>
          <t>VENEZUELANAS SÃO PRESAS COM 6 QUILOS DE COCAÍNA LÍQUIDA AO TENTAR EMBARCAR PARA A EUROPA</t>
        </is>
      </c>
      <c r="I1550" t="inlineStr">
        <is>
          <t>ABORDADAS NO AEROPORTO DO RECIFE, MULHERES AFIRMARAM À PF QUE FORAM AMEAÇADAS POR TRAFICANTES PARA FAZER O TRANSPORTE. DROGA ESTAVA ESCONDIDA EM MALAS.</t>
        </is>
      </c>
      <c r="J1550">
        <f>HYPERLINK("https://g1.globo.com/pe/pernambuco/noticia/2019/05/07/venezuelanas-sao-presas-com-6-quilos-de-cocaina-liquida-ao-tentar-embarcar-para-a-europa.ghtml", "URL")</f>
        <v/>
      </c>
      <c r="K1550">
        <f>HYPERLINK("https://raw.githubusercontent.com/marcosmapl/dataset_imigrantes/main/noticias_filtered/g1/venezuelanos/2019/04_mai/html/g1_188147b2-2314-11ed-b24f-6dbe51e79fca_3045.html", "HTML")</f>
        <v/>
      </c>
      <c r="L1550">
        <f>HYPERLINK("https://raw.githubusercontent.com/marcosmapl/dataset_imigrantes/main/noticias_filtered/g1/venezuelanos/2019/04_mai/txt/g1_188147b2-2314-11ed-b24f-6dbe51e79fca_3045.txt", "TXT")</f>
        <v/>
      </c>
    </row>
    <row r="1551">
      <c r="A1551" s="1" t="n">
        <v>1549</v>
      </c>
      <c r="B1551" t="n">
        <v>2019</v>
      </c>
      <c r="C1551" s="2" t="n">
        <v>43591.91493623843</v>
      </c>
      <c r="D1551" t="inlineStr">
        <is>
          <t>G1</t>
        </is>
      </c>
      <c r="E1551" t="inlineStr">
        <is>
          <t>VENEZUELANOS</t>
        </is>
      </c>
      <c r="F1551" t="inlineStr">
        <is>
          <t>SANTARÉM E REGIÃO</t>
        </is>
      </c>
      <c r="G1551" t="inlineStr">
        <is>
          <t>GEOVANE BRITO, G1 SANTARÉM — PARÁ</t>
        </is>
      </c>
      <c r="H1551" t="inlineStr">
        <is>
          <t>FAMÍLIA VENEZUELANA CONTA COM AJUDA SOLIDÁRIA PARA RECOMEÇAR A VIDA NO PA: ‘SANTARÉM É MUITO ACOLHEDORA’</t>
        </is>
      </c>
      <c r="I1551" t="inlineStr">
        <is>
          <t>O CABELEIREIRO KENNY MONTEÑO E A MANICURE ADELEYNS MORALES E OS DOIS FILHOS CHEGARAM A SANTARÉM HÁ POUCO MAIS DE UM MÊS.</t>
        </is>
      </c>
      <c r="J1551">
        <f>HYPERLINK("https://g1.globo.com/pa/santarem-regiao/noticia/2019/05/06/familia-venezuelana-conta-com-ajuda-solidaria-para-recomecar-a-vida-no-pa-santarem-e-muito-acolhedora.ghtml", "URL")</f>
        <v/>
      </c>
      <c r="K1551">
        <f>HYPERLINK("https://raw.githubusercontent.com/marcosmapl/dataset_imigrantes/main/noticias_filtered/g1/venezuelanos/2019/04_mai/html/g1_ac240ff8-2306-11ed-b24f-6dbe51e79fca_2272.html", "HTML")</f>
        <v/>
      </c>
      <c r="L1551">
        <f>HYPERLINK("https://raw.githubusercontent.com/marcosmapl/dataset_imigrantes/main/noticias_filtered/g1/venezuelanos/2019/04_mai/txt/g1_ac240ff8-2306-11ed-b24f-6dbe51e79fca_2272.txt", "TXT")</f>
        <v/>
      </c>
    </row>
    <row r="1552">
      <c r="A1552" s="1" t="n">
        <v>1550</v>
      </c>
      <c r="B1552" t="n">
        <v>2019</v>
      </c>
      <c r="C1552" s="2" t="n">
        <v>43591.51587962963</v>
      </c>
      <c r="D1552" t="inlineStr">
        <is>
          <t>A CRITICA</t>
        </is>
      </c>
      <c r="E1552" t="inlineStr">
        <is>
          <t>VENEZUELANOS</t>
        </is>
      </c>
      <c r="F1552" t="inlineStr"/>
      <c r="G1552" t="inlineStr">
        <is>
          <t>AGÊNCIA BRASIL</t>
        </is>
      </c>
      <c r="H1552" t="inlineStr">
        <is>
          <t>JUAN GUAIDÓ ESTUDA OPÇÕES PARA TIRAR MADURO DO PODER</t>
        </is>
      </c>
      <c r="I1552" t="inlineStr">
        <is>
          <t>EM ENTREVISTA À BBC, ELE NÃO DESCARTA UM PEDIDO DE AJUDA AOS ESTADOS UNIDOS PARA UMA INTERVENÇÃO MILITAR</t>
        </is>
      </c>
      <c r="J1552">
        <f>HYPERLINK("https://www.acritica.com/juan-guaido-estuda-opc-es-para-tirar-maduro-do-poder-1.75372", "URL")</f>
        <v/>
      </c>
      <c r="K1552">
        <f>HYPERLINK("https://raw.githubusercontent.com/marcosmapl/dataset_imigrantes/main/noticias_filtered/a_critica/venezuelanos/2019/04_mai/html/1.75372_52.html", "HTML")</f>
        <v/>
      </c>
      <c r="L1552">
        <f>HYPERLINK("https://raw.githubusercontent.com/marcosmapl/dataset_imigrantes/main/noticias_filtered/a_critica/venezuelanos/2019/04_mai/txt/1.75372_52.txt", "TXT")</f>
        <v/>
      </c>
    </row>
    <row r="1553">
      <c r="A1553" s="1" t="n">
        <v>1551</v>
      </c>
      <c r="B1553" t="n">
        <v>2019</v>
      </c>
      <c r="C1553" s="2" t="n">
        <v>43591.31597222222</v>
      </c>
      <c r="D1553" t="inlineStr">
        <is>
          <t>A CRITICA</t>
        </is>
      </c>
      <c r="E1553" t="inlineStr">
        <is>
          <t>VENEZUELANOS</t>
        </is>
      </c>
      <c r="F1553" t="inlineStr"/>
      <c r="G1553" t="inlineStr">
        <is>
          <t>LUIZ G. MELO</t>
        </is>
      </c>
      <c r="H1553" t="inlineStr">
        <is>
          <t>SUS PARA RIBEIRINHOS E INDÍGENAS É PERMEADO DE DIFICULDADES NO AM</t>
        </is>
      </c>
      <c r="I1553" t="inlineStr">
        <is>
          <t>SEJAM POPULAÇÕES ESPECÍFICAS QUE VIVEM NAS RUAS DE MANAUS OU RIBEIRINHOS E INDÍGENAS QUE MORAM EM COMUNIDADES MAIS DISTANTES, TODOS DEMANDAM ATENÇÃO ESPECIAL DO PODER PÚBLICO</t>
        </is>
      </c>
      <c r="J1553">
        <f>HYPERLINK("https://www.acritica.com/sus-para-ribeirinhos-e-indigenas-e-permeado-de-dificuldades-no-am-1.68322", "URL")</f>
        <v/>
      </c>
      <c r="K1553">
        <f>HYPERLINK("https://raw.githubusercontent.com/marcosmapl/dataset_imigrantes/main/noticias_filtered/a_critica/venezuelanos/2019/04_mai/html/1.68322_898.html", "HTML")</f>
        <v/>
      </c>
      <c r="L1553">
        <f>HYPERLINK("https://raw.githubusercontent.com/marcosmapl/dataset_imigrantes/main/noticias_filtered/a_critica/venezuelanos/2019/04_mai/txt/1.68322_898.txt", "TXT")</f>
        <v/>
      </c>
    </row>
    <row r="1554">
      <c r="A1554" s="1" t="n">
        <v>1552</v>
      </c>
      <c r="B1554" t="n">
        <v>2019</v>
      </c>
      <c r="C1554" s="2" t="n">
        <v>43589.88194444445</v>
      </c>
      <c r="D1554" t="inlineStr">
        <is>
          <t>A CRITICA</t>
        </is>
      </c>
      <c r="E1554" t="inlineStr">
        <is>
          <t>VENEZUELANOS</t>
        </is>
      </c>
      <c r="F1554" t="inlineStr">
        <is>
          <t>MANAUS</t>
        </is>
      </c>
      <c r="G1554" t="inlineStr">
        <is>
          <t>DANIEL AMORIM</t>
        </is>
      </c>
      <c r="H1554" t="inlineStr">
        <is>
          <t>RUAS DE MANAUS 'ABRIGAM' IMIGRANTES E REFLETEM CAOS VENEZUELANO</t>
        </is>
      </c>
      <c r="I1554" t="inlineStr">
        <is>
          <t>ESPALHADOS PELA CIDADE, REFUGIADOS CONTAM COM A SOLIDARIEDADE DE QUEM MORA EM MANAUS PARA SOBREVIVER</t>
        </is>
      </c>
      <c r="J1554">
        <f>HYPERLINK("https://www.acritica.com/manaus/ruas-de-manaus-abrigam-imigrantes-e-refletem-caos-venezuelano-1.68289", "URL")</f>
        <v/>
      </c>
      <c r="K1554">
        <f>HYPERLINK("https://raw.githubusercontent.com/marcosmapl/dataset_imigrantes/main/noticias_filtered/a_critica/venezuelanos/2019/04_mai/html/1.68289_807.html", "HTML")</f>
        <v/>
      </c>
      <c r="L1554">
        <f>HYPERLINK("https://raw.githubusercontent.com/marcosmapl/dataset_imigrantes/main/noticias_filtered/a_critica/venezuelanos/2019/04_mai/txt/1.68289_807.txt", "TXT")</f>
        <v/>
      </c>
    </row>
    <row r="1555">
      <c r="A1555" s="1" t="n">
        <v>1553</v>
      </c>
      <c r="B1555" t="n">
        <v>2019</v>
      </c>
      <c r="C1555" s="2" t="n">
        <v>43589.83444412037</v>
      </c>
      <c r="D1555" t="inlineStr">
        <is>
          <t>G1</t>
        </is>
      </c>
      <c r="E1555" t="inlineStr">
        <is>
          <t>VENEZUELANOS</t>
        </is>
      </c>
      <c r="F1555" t="inlineStr">
        <is>
          <t>MUNDO</t>
        </is>
      </c>
      <c r="G1555" t="inlineStr">
        <is>
          <t>AGÊNCIA EFE</t>
        </is>
      </c>
      <c r="H1555" t="inlineStr">
        <is>
          <t>POMPEO AFIRMA QUE REPRESSÃO DE MADURO NA VENEZUELA 'NÃO TEM LIMITES'</t>
        </is>
      </c>
      <c r="I1555" t="inlineStr">
        <is>
          <t>EM MENSAGEM PUBLICADA NO TWITTER, CHEFE DA DIPLOMACIA AMERICANA REITEROU O APOIO DOS EUA AO LÍDER DA OPOSIÇÃO VENEZUELANA, JUAN GUAIDÓ.</t>
        </is>
      </c>
      <c r="J1555">
        <f>HYPERLINK("https://g1.globo.com/mundo/noticia/2019/05/04/pompeo-afirma-que-repressao-de-maduro-na-venezuela-nao-tem-limites.ghtml", "URL")</f>
        <v/>
      </c>
      <c r="K1555">
        <f>HYPERLINK("https://raw.githubusercontent.com/marcosmapl/dataset_imigrantes/main/noticias_filtered/g1/venezuelanos/2019/04_mai/html/g1_cbf21168-2306-11ed-b24f-6dbe51e79fca_2278.html", "HTML")</f>
        <v/>
      </c>
      <c r="L1555">
        <f>HYPERLINK("https://raw.githubusercontent.com/marcosmapl/dataset_imigrantes/main/noticias_filtered/g1/venezuelanos/2019/04_mai/txt/g1_cbf21168-2306-11ed-b24f-6dbe51e79fca_2278.txt", "TXT")</f>
        <v/>
      </c>
    </row>
    <row r="1556">
      <c r="A1556" s="1" t="n">
        <v>1554</v>
      </c>
      <c r="B1556" t="n">
        <v>2019</v>
      </c>
      <c r="C1556" s="2" t="n">
        <v>43589.5609375</v>
      </c>
      <c r="D1556" t="inlineStr">
        <is>
          <t>A CRITICA</t>
        </is>
      </c>
      <c r="E1556" t="inlineStr">
        <is>
          <t>VENEZUELANOS</t>
        </is>
      </c>
      <c r="F1556" t="inlineStr"/>
      <c r="G1556" t="inlineStr">
        <is>
          <t>REUTERS</t>
        </is>
      </c>
      <c r="H1556" t="inlineStr">
        <is>
          <t>BOLSONARO DIZ QUE MADURO NÃO CAI SEM ENVOLVIMENTO DE GENERAIS VENEZUELANOS</t>
        </is>
      </c>
      <c r="I1556" t="inlineStr">
        <is>
          <t>O PRESIDENTE TAMBÉM AFIRMOU QUE O BRASIL NÃO PRETENDE ABRIR DIÁLOGO COM O ATUAL GOVERNO PORQUE MADURO NÃO IRIA CEDER AO QUE SERIA PROPOSTO</t>
        </is>
      </c>
      <c r="J1556">
        <f>HYPERLINK("https://www.acritica.com/bolsonaro-diz-que-maduro-n-o-cai-sem-envolvimento-de-generais-venezuelanos-1.75409", "URL")</f>
        <v/>
      </c>
      <c r="K1556">
        <f>HYPERLINK("https://raw.githubusercontent.com/marcosmapl/dataset_imigrantes/main/noticias_filtered/a_critica/venezuelanos/2019/04_mai/html/1.75409_855.html", "HTML")</f>
        <v/>
      </c>
      <c r="L1556">
        <f>HYPERLINK("https://raw.githubusercontent.com/marcosmapl/dataset_imigrantes/main/noticias_filtered/a_critica/venezuelanos/2019/04_mai/txt/1.75409_855.txt", "TXT")</f>
        <v/>
      </c>
    </row>
    <row r="1557">
      <c r="A1557" s="1" t="n">
        <v>1555</v>
      </c>
      <c r="B1557" t="n">
        <v>2019</v>
      </c>
      <c r="C1557" s="2" t="n">
        <v>43588.98749655092</v>
      </c>
      <c r="D1557" t="inlineStr">
        <is>
          <t>G1</t>
        </is>
      </c>
      <c r="E1557" t="inlineStr">
        <is>
          <t>VENEZUELANOS</t>
        </is>
      </c>
      <c r="F1557" t="inlineStr">
        <is>
          <t>JORNAL NACIONAL</t>
        </is>
      </c>
      <c r="G1557" t="inlineStr">
        <is>
          <t>JORNAL NACIONAL</t>
        </is>
      </c>
      <c r="H1557" t="inlineStr">
        <is>
          <t>BOLSONARO DIZ QUE MADURO SÓ DEIXA O PODER SE O EXÉRCITO VENEZUELANO ENFRAQUECER</t>
        </is>
      </c>
      <c r="I1557" t="inlineStr">
        <is>
          <t>NA FORMATURA DE NOVOS DIPLOMATAS, PRESIDENTE AFIRMOU AINDA ESTAR PREOCUPADO COM A SUCESSÃO PRESIDENCIAL NA ARGENTINA: ‘NÃO QUEREMOS OUTRA VENEZUELA’.</t>
        </is>
      </c>
      <c r="J1557">
        <f>HYPERLINK("https://g1.globo.com/jornal-nacional/noticia/2019/05/03/maduro-so-deixa-o-poder-com-exercito-venezuelano-enfraquecido-diz-bolsonaro.ghtml", "URL")</f>
        <v/>
      </c>
      <c r="K1557">
        <f>HYPERLINK("https://raw.githubusercontent.com/marcosmapl/dataset_imigrantes/main/noticias_filtered/g1/venezuelanos/2019/04_mai/html/g1_9a5fcba4-231f-11ed-b24f-6dbe51e79fca_3633.html", "HTML")</f>
        <v/>
      </c>
      <c r="L1557">
        <f>HYPERLINK("https://raw.githubusercontent.com/marcosmapl/dataset_imigrantes/main/noticias_filtered/g1/venezuelanos/2019/04_mai/txt/g1_9a5fcba4-231f-11ed-b24f-6dbe51e79fca_3633.txt", "TXT")</f>
        <v/>
      </c>
    </row>
    <row r="1558">
      <c r="A1558" s="1" t="n">
        <v>1556</v>
      </c>
      <c r="B1558" t="n">
        <v>2019</v>
      </c>
      <c r="C1558" s="2" t="n">
        <v>43587.64158859954</v>
      </c>
      <c r="D1558" t="inlineStr">
        <is>
          <t>G1</t>
        </is>
      </c>
      <c r="E1558" t="inlineStr">
        <is>
          <t>VENEZUELANOS</t>
        </is>
      </c>
      <c r="F1558" t="inlineStr">
        <is>
          <t>MUNDO</t>
        </is>
      </c>
      <c r="G1558" t="inlineStr">
        <is>
          <t>BORIS MIRANDA, BBC</t>
        </is>
      </c>
      <c r="H1558" t="inlineStr">
        <is>
          <t>AS 5 VEZES EM QUE A OPOSIÇÃO ANUNCIOU ‘OFENSIVA FINAL’ CONTRA MADURO NA VENEZUELA, MAS FRACASSOU</t>
        </is>
      </c>
      <c r="I1558" t="inlineStr">
        <is>
          <t>NOS ÚLTIMOS ANOS, A OPOSIÇÃO VENEZUELANA TEM INDICADO REPETIDAMENTE QUE ESTÁ PRESTES A DERRUBAR O GOVERNO. MAS, ATÉ AGORA, NÃO CONSEGUIU.</t>
        </is>
      </c>
      <c r="J1558">
        <f>HYPERLINK("https://g1.globo.com/mundo/noticia/2019/05/02/as-5-vezes-em-que-a-oposicao-anunciou-ofensiva-final-contra-maduro-na-venezuela-mas-fracassou.ghtml", "URL")</f>
        <v/>
      </c>
      <c r="K1558">
        <f>HYPERLINK("https://raw.githubusercontent.com/marcosmapl/dataset_imigrantes/main/noticias_filtered/g1/venezuelanos/2019/04_mai/html/g1_49bb6fee-230d-11ed-b24f-6dbe51e79fca_2679.html", "HTML")</f>
        <v/>
      </c>
      <c r="L1558">
        <f>HYPERLINK("https://raw.githubusercontent.com/marcosmapl/dataset_imigrantes/main/noticias_filtered/g1/venezuelanos/2019/04_mai/txt/g1_49bb6fee-230d-11ed-b24f-6dbe51e79fca_2679.txt", "TXT")</f>
        <v/>
      </c>
    </row>
    <row r="1559">
      <c r="A1559" s="1" t="n">
        <v>1557</v>
      </c>
      <c r="B1559" t="n">
        <v>2019</v>
      </c>
      <c r="C1559" s="2" t="n">
        <v>43587.49305555555</v>
      </c>
      <c r="D1559" t="inlineStr">
        <is>
          <t>A CRITICA</t>
        </is>
      </c>
      <c r="E1559" t="inlineStr">
        <is>
          <t>VENEZUELANOS</t>
        </is>
      </c>
      <c r="F1559" t="inlineStr"/>
      <c r="G1559" t="inlineStr">
        <is>
          <t>AGÊNCIA BRASIL</t>
        </is>
      </c>
      <c r="H1559" t="inlineStr">
        <is>
          <t>'JUSTIÇA BUSCA RESPONSÁVEIS PELO GOLPE', DIZ NICOLÁS MADURO</t>
        </is>
      </c>
      <c r="I1559" t="inlineStr">
        <is>
          <t>PRESIDENTE DA VENEZUELA AFIRMOU QUE "MAIS CEDO OU MAIS TARDE", OS RESPONSÁVEIS PELA REVOLTA MILITAR PAGARÃO COM A PRISÃO PELO CRIME DE TRAIÇÃO</t>
        </is>
      </c>
      <c r="J1559">
        <f>HYPERLINK("https://www.acritica.com/justica-busca-responsaveis-pelo-golpe-diz-nicolas-maduro-1.75303", "URL")</f>
        <v/>
      </c>
      <c r="K1559">
        <f>HYPERLINK("https://raw.githubusercontent.com/marcosmapl/dataset_imigrantes/main/noticias_filtered/a_critica/venezuelanos/2019/04_mai/html/1.75303_968.html", "HTML")</f>
        <v/>
      </c>
      <c r="L1559">
        <f>HYPERLINK("https://raw.githubusercontent.com/marcosmapl/dataset_imigrantes/main/noticias_filtered/a_critica/venezuelanos/2019/04_mai/txt/1.75303_968.txt", "TXT")</f>
        <v/>
      </c>
    </row>
    <row r="1560">
      <c r="A1560" s="1" t="n">
        <v>1558</v>
      </c>
      <c r="B1560" t="n">
        <v>2019</v>
      </c>
      <c r="C1560" s="2" t="n">
        <v>43587.48197916667</v>
      </c>
      <c r="D1560" t="inlineStr">
        <is>
          <t>A CRITICA</t>
        </is>
      </c>
      <c r="E1560" t="inlineStr">
        <is>
          <t>VENEZUELANOS</t>
        </is>
      </c>
      <c r="F1560" t="inlineStr"/>
      <c r="G1560" t="inlineStr">
        <is>
          <t>AGÊNCIA BRASIL</t>
        </is>
      </c>
      <c r="H1560" t="inlineStr">
        <is>
          <t>PROTESTOS NA VENEZUELA JÁ FIZERAM DOIS MORTOS E DEZENAS DE FERIDOS</t>
        </is>
      </c>
      <c r="I1560" t="inlineStr">
        <is>
          <t>JUAN GUAIDÓ CONFIRMOU A SEGUNDA MORTE EM SUA PÁGINA NO TWITTER</t>
        </is>
      </c>
      <c r="J1560">
        <f>HYPERLINK("https://www.acritica.com/protestos-na-venezuela-ja-fizeram-dois-mortos-e-dezenas-de-feridos-1.75307", "URL")</f>
        <v/>
      </c>
      <c r="K1560">
        <f>HYPERLINK("https://raw.githubusercontent.com/marcosmapl/dataset_imigrantes/main/noticias_filtered/a_critica/venezuelanos/2019/04_mai/html/1.75307_5.html", "HTML")</f>
        <v/>
      </c>
      <c r="L1560">
        <f>HYPERLINK("https://raw.githubusercontent.com/marcosmapl/dataset_imigrantes/main/noticias_filtered/a_critica/venezuelanos/2019/04_mai/txt/1.75307_5.txt", "TXT")</f>
        <v/>
      </c>
    </row>
    <row r="1561">
      <c r="A1561" s="1" t="n">
        <v>1559</v>
      </c>
      <c r="B1561" t="n">
        <v>2019</v>
      </c>
      <c r="C1561" s="2" t="n">
        <v>43587.23140756944</v>
      </c>
      <c r="D1561" t="inlineStr">
        <is>
          <t>G1</t>
        </is>
      </c>
      <c r="E1561" t="inlineStr">
        <is>
          <t>VENEZUELANOS</t>
        </is>
      </c>
      <c r="F1561" t="inlineStr">
        <is>
          <t>MUNDO</t>
        </is>
      </c>
      <c r="G1561" t="inlineStr">
        <is>
          <t>AGÊNCIA EFE</t>
        </is>
      </c>
      <c r="H1561" t="inlineStr">
        <is>
          <t>CASA DE OPOSITOR VENEZUELANO LEOPOLDO LÓPEZ É INVADIDA E ROUBADA EM CARACAS</t>
        </is>
      </c>
      <c r="I1561" t="inlineStr">
        <is>
          <t>MULHER DE LÓPEZ DIZ QUE AGENTES DO SERVIÇO BOLIVARIANO DE INTELIGÊNCIA NACIONAL (SEBIN), ÓRGÃO LIGADO AO CHAVISMO, ENTRARAM NO IMÓVEL.</t>
        </is>
      </c>
      <c r="J1561">
        <f>HYPERLINK("https://g1.globo.com/mundo/noticia/2019/05/02/casa-de-opositor-leopoldo-lopez-e-invadida-e-roubada-em-caracas.ghtml", "URL")</f>
        <v/>
      </c>
      <c r="K1561">
        <f>HYPERLINK("https://raw.githubusercontent.com/marcosmapl/dataset_imigrantes/main/noticias_filtered/g1/venezuelanos/2019/04_mai/html/g1_a5a1c76c-231d-11ed-b24f-6dbe51e79fca_3512.html", "HTML")</f>
        <v/>
      </c>
      <c r="L1561">
        <f>HYPERLINK("https://raw.githubusercontent.com/marcosmapl/dataset_imigrantes/main/noticias_filtered/g1/venezuelanos/2019/04_mai/txt/g1_a5a1c76c-231d-11ed-b24f-6dbe51e79fca_3512.txt", "TXT")</f>
        <v/>
      </c>
    </row>
    <row r="1562">
      <c r="A1562" s="1" t="n">
        <v>1560</v>
      </c>
      <c r="B1562" t="n">
        <v>2019</v>
      </c>
      <c r="C1562" s="2" t="n">
        <v>43586.98435481481</v>
      </c>
      <c r="D1562" t="inlineStr">
        <is>
          <t>G1</t>
        </is>
      </c>
      <c r="E1562" t="inlineStr">
        <is>
          <t>VENEZUELANOS</t>
        </is>
      </c>
      <c r="F1562" t="inlineStr">
        <is>
          <t>JORNAL NACIONAL</t>
        </is>
      </c>
      <c r="G1562" t="inlineStr">
        <is>
          <t>JORNAL NACIONAL</t>
        </is>
      </c>
      <c r="H1562" t="inlineStr">
        <is>
          <t>NA FRONTEIRA, NÚMERO RECORDE DE VENEZUELANOS ATRAVESSA PARA O BRASIL</t>
        </is>
      </c>
      <c r="I1562" t="inlineStr">
        <is>
          <t>SÓ NESTA TERÇA (30), MAIS DE 800 IMIGRANTES ENTRARAM NO BRASIL PASSANDO POR RORAIMA. ELES CHEGARAM A PÉ POR TRILHAS CLANDESTINAS.</t>
        </is>
      </c>
      <c r="J1562">
        <f>HYPERLINK("https://g1.globo.com/jornal-nacional/noticia/2019/05/01/na-fronteira-numero-recorde-de-venezuelanos-atravessa-para-o-brasil.ghtml", "URL")</f>
        <v/>
      </c>
      <c r="K1562">
        <f>HYPERLINK("https://raw.githubusercontent.com/marcosmapl/dataset_imigrantes/main/noticias_filtered/g1/venezuelanos/2019/04_mai/html/g1_21c0b42e-231f-11ed-b24f-6dbe51e79fca_3603.html", "HTML")</f>
        <v/>
      </c>
      <c r="L1562">
        <f>HYPERLINK("https://raw.githubusercontent.com/marcosmapl/dataset_imigrantes/main/noticias_filtered/g1/venezuelanos/2019/04_mai/txt/g1_21c0b42e-231f-11ed-b24f-6dbe51e79fca_3603.txt", "TXT")</f>
        <v/>
      </c>
    </row>
    <row r="1563">
      <c r="A1563" s="1" t="n">
        <v>1561</v>
      </c>
      <c r="B1563" t="n">
        <v>2019</v>
      </c>
      <c r="C1563" s="2" t="n">
        <v>43586.92041666667</v>
      </c>
      <c r="D1563" t="inlineStr">
        <is>
          <t>A CRITICA</t>
        </is>
      </c>
      <c r="E1563" t="inlineStr">
        <is>
          <t>VENEZUELANOS</t>
        </is>
      </c>
      <c r="F1563" t="inlineStr"/>
      <c r="G1563" t="inlineStr">
        <is>
          <t>AGÊNCIA BRASIL</t>
        </is>
      </c>
      <c r="H1563" t="inlineStr">
        <is>
          <t>SITUAÇÃO NA VENEZUELA PODE ELEVAR PREÇO DE COMBUSTÍVEIS NO BRASIL, DIZ BOLSONARO</t>
        </is>
      </c>
      <c r="I1563" t="inlineStr">
        <is>
          <t>A VENEZUELA É UM GRANDE PRODUTOR DE PETRÓLEO E SOFRE COM SANÇÕES ECONÔMICAS E EMBARGOS DE DIVERSOS PAÍSES, LIDERADOS PELOS ESTADOS UNIDOS, À COMMODITY</t>
        </is>
      </c>
      <c r="J1563">
        <f>HYPERLINK("https://www.acritica.com/situac-o-na-venezuela-pode-elevar-preco-de-combustiveis-no-brasil-diz-bolsonaro-1.71222", "URL")</f>
        <v/>
      </c>
      <c r="K1563">
        <f>HYPERLINK("https://raw.githubusercontent.com/marcosmapl/dataset_imigrantes/main/noticias_filtered/a_critica/venezuelanos/2019/04_mai/html/1.71222_565.html", "HTML")</f>
        <v/>
      </c>
      <c r="L1563">
        <f>HYPERLINK("https://raw.githubusercontent.com/marcosmapl/dataset_imigrantes/main/noticias_filtered/a_critica/venezuelanos/2019/04_mai/txt/1.71222_565.txt", "TXT")</f>
        <v/>
      </c>
    </row>
    <row r="1564">
      <c r="A1564" s="1" t="n">
        <v>1562</v>
      </c>
      <c r="B1564" t="n">
        <v>2019</v>
      </c>
      <c r="C1564" s="2" t="n">
        <v>43586.59252314815</v>
      </c>
      <c r="D1564" t="inlineStr">
        <is>
          <t>A CRITICA</t>
        </is>
      </c>
      <c r="E1564" t="inlineStr">
        <is>
          <t>VENEZUELANOS</t>
        </is>
      </c>
      <c r="F1564" t="inlineStr"/>
      <c r="G1564" t="inlineStr">
        <is>
          <t>REUTERS</t>
        </is>
      </c>
      <c r="H1564" t="inlineStr">
        <is>
          <t>TEMOS INFORMAÇÕES DE QUE HÁ FISSURAS ENTRE MILITARES VENEZUELANOS, DIZ BOLSONARO</t>
        </is>
      </c>
      <c r="I1564" t="inlineStr">
        <is>
          <t>O PRESIDENTE DISSE QUE NÃO HÁ DERROTA DE GUAIDÓ APÓS O MOVIMENTO DA TERÇA-FEIRA E EXPRESSOU PREOCUPAÇÃO COM OS REFLEXOS DA CRISE VENEZUELANA NO BRASIL</t>
        </is>
      </c>
      <c r="J1564">
        <f>HYPERLINK("https://www.acritica.com/temos-informac-es-de-que-ha-fissuras-entre-militares-venezuelanos-diz-bolsonaro-1.71244", "URL")</f>
        <v/>
      </c>
      <c r="K1564">
        <f>HYPERLINK("https://raw.githubusercontent.com/marcosmapl/dataset_imigrantes/main/noticias_filtered/a_critica/venezuelanos/2019/04_mai/html/1.71244_443.html", "HTML")</f>
        <v/>
      </c>
      <c r="L1564">
        <f>HYPERLINK("https://raw.githubusercontent.com/marcosmapl/dataset_imigrantes/main/noticias_filtered/a_critica/venezuelanos/2019/04_mai/txt/1.71244_443.txt", "TXT")</f>
        <v/>
      </c>
    </row>
    <row r="1565">
      <c r="A1565" s="1" t="n">
        <v>1563</v>
      </c>
      <c r="B1565" t="n">
        <v>2019</v>
      </c>
      <c r="C1565" s="2" t="n">
        <v>43586.5609375</v>
      </c>
      <c r="D1565" t="inlineStr">
        <is>
          <t>A CRITICA</t>
        </is>
      </c>
      <c r="E1565" t="inlineStr">
        <is>
          <t>VENEZUELANOS</t>
        </is>
      </c>
      <c r="F1565" t="inlineStr"/>
      <c r="G1565" t="inlineStr">
        <is>
          <t>AGÊNCIA BRASIL</t>
        </is>
      </c>
      <c r="H1565" t="inlineStr">
        <is>
          <t>GUAIDÓ CONVOCA OPOSICIONISTAS VENEZUELANOS PARA NOVOS PROTESTOS</t>
        </is>
      </c>
      <c r="I1565" t="inlineStr">
        <is>
          <t>O PRESIDENTE AUTOPROCLAMADO DA VENEZUELA USOU A SUA CONTA NO TWITTER PARA IREM ÀS RUAS NOVAMENTE. MADURO FALA EM FRACASSO</t>
        </is>
      </c>
      <c r="J1565">
        <f>HYPERLINK("https://www.acritica.com/guaido-convoca-oposicionistas-venezuelanos-para-novos-protestos-1.75096", "URL")</f>
        <v/>
      </c>
      <c r="K1565">
        <f>HYPERLINK("https://raw.githubusercontent.com/marcosmapl/dataset_imigrantes/main/noticias_filtered/a_critica/venezuelanos/2019/04_mai/html/1.75096_95.html", "HTML")</f>
        <v/>
      </c>
      <c r="L1565">
        <f>HYPERLINK("https://raw.githubusercontent.com/marcosmapl/dataset_imigrantes/main/noticias_filtered/a_critica/venezuelanos/2019/04_mai/txt/1.75096_95.txt", "TXT")</f>
        <v/>
      </c>
    </row>
    <row r="1566">
      <c r="A1566" s="1" t="n">
        <v>1564</v>
      </c>
      <c r="B1566" t="n">
        <v>2019</v>
      </c>
      <c r="C1566" s="2" t="n">
        <v>43585.9930787037</v>
      </c>
      <c r="D1566" t="inlineStr">
        <is>
          <t>A CRITICA</t>
        </is>
      </c>
      <c r="E1566" t="inlineStr">
        <is>
          <t>VENEZUELANOS</t>
        </is>
      </c>
      <c r="F1566" t="inlineStr"/>
      <c r="G1566" t="inlineStr">
        <is>
          <t>AGÊNCIA BRASIL</t>
        </is>
      </c>
      <c r="H1566" t="inlineStr">
        <is>
          <t>GOVERNO CONFIRMA QUE 25 MILITARES VENEZUELANOS PEDIRAM ASILO AO BRASIL</t>
        </is>
      </c>
      <c r="I1566" t="inlineStr">
        <is>
          <t>SEGUNDO O PORTA-VOZ DA  PRESIDÊNCIA, O PRESIDENTE JAIR BOLSONARO JÁ AUTORIZOU A MEDIDA. ATUALMENTE, O PAÍS ACOLHE 70 DESERTORES VENEZUELANOS</t>
        </is>
      </c>
      <c r="J1566">
        <f>HYPERLINK("https://www.acritica.com/governo-confirma-que-25-militares-venezuelanos-pediram-asilo-ao-brasil-1.75108", "URL")</f>
        <v/>
      </c>
      <c r="K1566">
        <f>HYPERLINK("https://raw.githubusercontent.com/marcosmapl/dataset_imigrantes/main/noticias_filtered/a_critica/venezuelanos/2019/03_abr/html/1.75108_332.html", "HTML")</f>
        <v/>
      </c>
      <c r="L1566">
        <f>HYPERLINK("https://raw.githubusercontent.com/marcosmapl/dataset_imigrantes/main/noticias_filtered/a_critica/venezuelanos/2019/03_abr/txt/1.75108_332.txt", "TXT")</f>
        <v/>
      </c>
    </row>
    <row r="1567">
      <c r="A1567" s="1" t="n">
        <v>1565</v>
      </c>
      <c r="B1567" t="n">
        <v>2019</v>
      </c>
      <c r="C1567" s="2" t="n">
        <v>43585.82034166667</v>
      </c>
      <c r="D1567" t="inlineStr">
        <is>
          <t>G1</t>
        </is>
      </c>
      <c r="E1567" t="inlineStr">
        <is>
          <t>VENEZUELANOS</t>
        </is>
      </c>
      <c r="F1567" t="inlineStr">
        <is>
          <t>MUNDO</t>
        </is>
      </c>
      <c r="G1567" t="inlineStr">
        <is>
          <t>G1</t>
        </is>
      </c>
      <c r="H1567" t="inlineStr">
        <is>
          <t>EMBAIXADOR DA VENEZUELA NA ONU DIZ QUE GOVERNO MADURO DERROTOU 'TENTATIVA DE CRIAR GUERRA CIVIL'</t>
        </is>
      </c>
      <c r="I1567" t="inlineStr">
        <is>
          <t>OPOSITOR LEOPOLDO LÓPEZ CHEGOU A IR PARA A RESIDÊNCIA DO EMBAIXADOR DO CHILE APÓS APARECER LIDERANDO PROTESTOS COM JUAN GUAIDÓ; DEPOIS, FOI PARA A EMBAIXADA DA ESPANHA. DIA TEVE PROTESTOS E CONFRONTO COM FORÇAS DE SEGURANÇA.</t>
        </is>
      </c>
      <c r="J1567">
        <f>HYPERLINK("https://g1.globo.com/mundo/noticia/2019/04/30/embaixador-da-venezuela-na-onu-diz-que-governo-maduro-derrotou-tentativa-de-criar-guerra-civil.ghtml", "URL")</f>
        <v/>
      </c>
      <c r="K1567">
        <f>HYPERLINK("https://raw.githubusercontent.com/marcosmapl/dataset_imigrantes/main/noticias_filtered/g1/venezuelanos/2019/03_abr/html/g1_52db6f24-2318-11ed-b24f-6dbe51e79fca_3253.html", "HTML")</f>
        <v/>
      </c>
      <c r="L1567">
        <f>HYPERLINK("https://raw.githubusercontent.com/marcosmapl/dataset_imigrantes/main/noticias_filtered/g1/venezuelanos/2019/03_abr/txt/g1_52db6f24-2318-11ed-b24f-6dbe51e79fca_3253.txt", "TXT")</f>
        <v/>
      </c>
    </row>
    <row r="1568">
      <c r="A1568" s="1" t="n">
        <v>1566</v>
      </c>
      <c r="B1568" t="n">
        <v>2019</v>
      </c>
      <c r="C1568" s="2" t="n">
        <v>43585.73038194444</v>
      </c>
      <c r="D1568" t="inlineStr">
        <is>
          <t>A CRITICA</t>
        </is>
      </c>
      <c r="E1568" t="inlineStr">
        <is>
          <t>VENEZUELANOS</t>
        </is>
      </c>
      <c r="F1568" t="inlineStr"/>
      <c r="G1568" t="inlineStr">
        <is>
          <t>AGÊNCIA BRASIL</t>
        </is>
      </c>
      <c r="H1568" t="inlineStr">
        <is>
          <t>COMUNIDADE INTERNACIONAL REPERCUTE DIA DE VIOLÊNCIA NA VENEZUELA</t>
        </is>
      </c>
      <c r="I1568" t="inlineStr">
        <is>
          <t>NA MANHÃ DESTA TERÇA-FEIRA JUAN GUAIDÓ DIVULGOU UMA MENSAGEM AFIRMANDO TER OBTIDO APOIO DE OFICIAIS DAS FORÇAS ARMADAS PARA TIRAR O PRESIDENTE NICOLÁS MADURO DO PODER</t>
        </is>
      </c>
      <c r="J1568">
        <f>HYPERLINK("https://www.acritica.com/comunidade-internacional-repercute-dia-de-violencia-na-venezuela-1.75148", "URL")</f>
        <v/>
      </c>
      <c r="K1568">
        <f>HYPERLINK("https://raw.githubusercontent.com/marcosmapl/dataset_imigrantes/main/noticias_filtered/a_critica/venezuelanos/2019/03_abr/html/1.75148_831.html", "HTML")</f>
        <v/>
      </c>
      <c r="L1568">
        <f>HYPERLINK("https://raw.githubusercontent.com/marcosmapl/dataset_imigrantes/main/noticias_filtered/a_critica/venezuelanos/2019/03_abr/txt/1.75148_831.txt", "TXT")</f>
        <v/>
      </c>
    </row>
    <row r="1569">
      <c r="A1569" s="1" t="n">
        <v>1567</v>
      </c>
      <c r="B1569" t="n">
        <v>2019</v>
      </c>
      <c r="C1569" s="2" t="n">
        <v>43585.72511574074</v>
      </c>
      <c r="D1569" t="inlineStr">
        <is>
          <t>A CRITICA</t>
        </is>
      </c>
      <c r="E1569" t="inlineStr">
        <is>
          <t>VENEZUELANOS</t>
        </is>
      </c>
      <c r="F1569" t="inlineStr"/>
      <c r="G1569" t="inlineStr">
        <is>
          <t>AGÊNCIA BRASIL</t>
        </is>
      </c>
      <c r="H1569" t="inlineStr">
        <is>
          <t>GOVERNO BRASILEIRO INCENTIVA PAÍSES A APOIAREM JUAN GUAIDÓ</t>
        </is>
      </c>
      <c r="I1569" t="inlineStr">
        <is>
          <t>O PRESIDENTE JAIR BOLSONARO SE REÚNE AINDA NESTA TERÇA-FEIRA (30), COM MINISTROS DE ESTADO E O VICE-PRESIDENTE HAMILTON MOURÃO, NO PALÁCIO DO PLANALTO, PARA TRATAR DA SITUAÇÃO DA VENEZUELA</t>
        </is>
      </c>
      <c r="J1569">
        <f>HYPERLINK("https://www.acritica.com/governo-brasileiro-incentiva-paises-a-apoiarem-juan-guaido-1.75150", "URL")</f>
        <v/>
      </c>
      <c r="K1569">
        <f>HYPERLINK("https://raw.githubusercontent.com/marcosmapl/dataset_imigrantes/main/noticias_filtered/a_critica/venezuelanos/2019/03_abr/html/1.75150_476.html", "HTML")</f>
        <v/>
      </c>
      <c r="L1569">
        <f>HYPERLINK("https://raw.githubusercontent.com/marcosmapl/dataset_imigrantes/main/noticias_filtered/a_critica/venezuelanos/2019/03_abr/txt/1.75150_476.txt", "TXT")</f>
        <v/>
      </c>
    </row>
    <row r="1570">
      <c r="A1570" s="1" t="n">
        <v>1568</v>
      </c>
      <c r="B1570" t="n">
        <v>2019</v>
      </c>
      <c r="C1570" s="2" t="n">
        <v>43585.62627267361</v>
      </c>
      <c r="D1570" t="inlineStr">
        <is>
          <t>G1</t>
        </is>
      </c>
      <c r="E1570" t="inlineStr">
        <is>
          <t>VENEZUELANOS</t>
        </is>
      </c>
      <c r="F1570" t="inlineStr">
        <is>
          <t>MUNDO</t>
        </is>
      </c>
      <c r="G1570" t="inlineStr">
        <is>
          <t>G1</t>
        </is>
      </c>
      <c r="H1570" t="inlineStr">
        <is>
          <t>CRONOLOGIA: RELEMBRE OS FATOS MAIS IMPORTANTES DA CRISE VENEZUELANA</t>
        </is>
      </c>
      <c r="I1570" t="inlineStr">
        <is>
          <t>JUAN GUAIDÓ ANUNCIA TER CONQUISTADO APOIO DE MILITARES PARA PÔR FIM "A USURPAÇÃO" DO PODER NO PAÍS. MADURO FALA EM GOLPE.</t>
        </is>
      </c>
      <c r="J1570">
        <f>HYPERLINK("https://g1.globo.com/mundo/noticia/2019/04/30/cronologia-relembre-os-fatos-mais-importantes-na-crise-venezuelana.ghtml", "URL")</f>
        <v/>
      </c>
      <c r="K1570">
        <f>HYPERLINK("https://raw.githubusercontent.com/marcosmapl/dataset_imigrantes/main/noticias_filtered/g1/venezuelanos/2019/03_abr/html/g1_589568ee-230d-11ed-b24f-6dbe51e79fca_2682.html", "HTML")</f>
        <v/>
      </c>
      <c r="L1570">
        <f>HYPERLINK("https://raw.githubusercontent.com/marcosmapl/dataset_imigrantes/main/noticias_filtered/g1/venezuelanos/2019/03_abr/txt/g1_589568ee-230d-11ed-b24f-6dbe51e79fca_2682.txt", "TXT")</f>
        <v/>
      </c>
    </row>
    <row r="1571">
      <c r="A1571" s="1" t="n">
        <v>1569</v>
      </c>
      <c r="B1571" t="n">
        <v>2019</v>
      </c>
      <c r="C1571" s="2" t="n">
        <v>43585.59981770833</v>
      </c>
      <c r="D1571" t="inlineStr">
        <is>
          <t>G1</t>
        </is>
      </c>
      <c r="E1571" t="inlineStr">
        <is>
          <t>VENEZUELANOS</t>
        </is>
      </c>
      <c r="F1571" t="inlineStr">
        <is>
          <t>RORAIMA</t>
        </is>
      </c>
      <c r="G1571" t="inlineStr">
        <is>
          <t>REDE AMAZÔNICA RORAIMA — BOA VISTA</t>
        </is>
      </c>
      <c r="H1571" t="inlineStr">
        <is>
          <t>COMISSÃO FORMADA POR DEPUTADOS ANALISA IMPACTOS DA IMIGRAÇÃO VENEZUELANA DURANTE VISITA A RR</t>
        </is>
      </c>
      <c r="I1571" t="inlineStr">
        <is>
          <t>DEPUTADOS FEDERAIS DEVEM BUSCAR RECURSOS PARA AJUDAR O ESTADO A LIDAR COM A CRISE. NA SEGUNDA (29) ELES VISITARAM UNIDADES SUPERLOTADAS, COMO O HOSPITAL GERAL DE RORAIMA E A MATERNIDADE NOSSA SENHORA DE NAZARETH.</t>
        </is>
      </c>
      <c r="J1571">
        <f>HYPERLINK("https://g1.globo.com/rr/roraima/noticia/2019/04/30/comissao-formada-por-deputados-analisa-impactos-da-imigracao-venezuelana-durante-visita-a-rr.ghtml", "URL")</f>
        <v/>
      </c>
      <c r="K1571">
        <f>HYPERLINK("https://raw.githubusercontent.com/marcosmapl/dataset_imigrantes/main/noticias_filtered/g1/venezuelanos/2019/03_abr/html/g1_8e7b3a02-230c-11ed-b24f-6dbe51e79fca_2632.html", "HTML")</f>
        <v/>
      </c>
      <c r="L1571">
        <f>HYPERLINK("https://raw.githubusercontent.com/marcosmapl/dataset_imigrantes/main/noticias_filtered/g1/venezuelanos/2019/03_abr/txt/g1_8e7b3a02-230c-11ed-b24f-6dbe51e79fca_2632.txt", "TXT")</f>
        <v/>
      </c>
    </row>
    <row r="1572">
      <c r="A1572" s="1" t="n">
        <v>1570</v>
      </c>
      <c r="B1572" t="n">
        <v>2019</v>
      </c>
      <c r="C1572" s="2" t="n">
        <v>43585.57704861111</v>
      </c>
      <c r="D1572" t="inlineStr">
        <is>
          <t>A CRITICA</t>
        </is>
      </c>
      <c r="E1572" t="inlineStr">
        <is>
          <t>VENEZUELANOS</t>
        </is>
      </c>
      <c r="F1572" t="inlineStr"/>
      <c r="G1572" t="inlineStr">
        <is>
          <t>AFP</t>
        </is>
      </c>
      <c r="H1572" t="inlineStr">
        <is>
          <t>BRASIL ACHA POSITIVO O MOVIMENTO DE MILITARES EM APOIO A GUAIDÓ, DIZ MINISTRO</t>
        </is>
      </c>
      <c r="I1572" t="inlineStr">
        <is>
          <t>"O BRASIL APOIA O PROCESSO DE TRANSIÇÃO DEMOCRÁTICA E ESPERA QUE OS MILITARES VENEZUELANOS SEJAM PARTE DESSE PROCESSO DE TRANSIÇÃO DEMOCRÁTICA", AFIRMOU O CHANCELER ERNESTO ARAÚJO</t>
        </is>
      </c>
      <c r="J1572">
        <f>HYPERLINK("https://www.acritica.com/brasil-acha-positivo-o-movimento-de-militares-em-apoio-a-guaido-diz-ministro-1.75170", "URL")</f>
        <v/>
      </c>
      <c r="K1572">
        <f>HYPERLINK("https://raw.githubusercontent.com/marcosmapl/dataset_imigrantes/main/noticias_filtered/a_critica/venezuelanos/2019/03_abr/html/1.75170_1335.html", "HTML")</f>
        <v/>
      </c>
      <c r="L1572">
        <f>HYPERLINK("https://raw.githubusercontent.com/marcosmapl/dataset_imigrantes/main/noticias_filtered/a_critica/venezuelanos/2019/03_abr/txt/1.75170_1335.txt", "TXT")</f>
        <v/>
      </c>
    </row>
    <row r="1573">
      <c r="A1573" s="1" t="n">
        <v>1571</v>
      </c>
      <c r="B1573" t="n">
        <v>2019</v>
      </c>
      <c r="C1573" s="2" t="n">
        <v>43585.52060185185</v>
      </c>
      <c r="D1573" t="inlineStr">
        <is>
          <t>A CRITICA</t>
        </is>
      </c>
      <c r="E1573" t="inlineStr">
        <is>
          <t>VENEZUELANOS</t>
        </is>
      </c>
      <c r="F1573" t="inlineStr"/>
      <c r="G1573" t="inlineStr">
        <is>
          <t>AGÊNCIA BRASIL</t>
        </is>
      </c>
      <c r="H1573" t="inlineStr">
        <is>
          <t>GOVERNO DA VENEZUELA TENTA DESARTICULAR TENTATIVA DE GOLPE DE ESTADO, DIZ MINISTRO</t>
        </is>
      </c>
      <c r="I1573" t="inlineStr">
        <is>
          <t>PRESIDENTE MADURO USOU SUA CONTA NO TWITTER PARA MOBILIZAR A POPULAÇÃO. HÁ REGISTRO DE CONFRONTOS ENTRE FORÇAS POLICIAIS E MANIFESTANTES EM ALGUMAS PARTES DO PAÍS</t>
        </is>
      </c>
      <c r="J1573">
        <f>HYPERLINK("https://www.acritica.com/governo-da-venezuela-tenta-desarticular-tentativa-de-golpe-de-estado-diz-ministro-1.75180", "URL")</f>
        <v/>
      </c>
      <c r="K1573">
        <f>HYPERLINK("https://raw.githubusercontent.com/marcosmapl/dataset_imigrantes/main/noticias_filtered/a_critica/venezuelanos/2019/03_abr/html/1.75180_1191.html", "HTML")</f>
        <v/>
      </c>
      <c r="L1573">
        <f>HYPERLINK("https://raw.githubusercontent.com/marcosmapl/dataset_imigrantes/main/noticias_filtered/a_critica/venezuelanos/2019/03_abr/txt/1.75180_1191.txt", "TXT")</f>
        <v/>
      </c>
    </row>
    <row r="1574">
      <c r="A1574" s="1" t="n">
        <v>1572</v>
      </c>
      <c r="B1574" t="n">
        <v>2019</v>
      </c>
      <c r="C1574" s="2" t="n">
        <v>43585.46944444445</v>
      </c>
      <c r="D1574" t="inlineStr">
        <is>
          <t>A CRITICA</t>
        </is>
      </c>
      <c r="E1574" t="inlineStr">
        <is>
          <t>VENEZUELANOS</t>
        </is>
      </c>
      <c r="F1574" t="inlineStr"/>
      <c r="G1574" t="inlineStr">
        <is>
          <t>REUTERS</t>
        </is>
      </c>
      <c r="H1574" t="inlineStr">
        <is>
          <t>AO LADO DE MILITARES, GUAIDÓ DIZ TER APOIO PARA ACABAR COM A ‘USURPAÇÃO’ NA VENEZUELA</t>
        </is>
      </c>
      <c r="I1574" t="inlineStr">
        <is>
          <t>NESTE MOMENTO, “FAZEMOS UM GRANDE APELO AOS FUNCIONÁRIOS PÚBLICOS E A UM COMPONENTE FUNDAMENTAL: NOSSAS FORÇAS ARMADAS”, DISSE O LÍDER OPOSITOR RODEADO POR CARROS BLINDADOS</t>
        </is>
      </c>
      <c r="J1574">
        <f>HYPERLINK("https://www.acritica.com/ao-lado-de-militares-guaido-diz-ter-apoio-para-acabar-com-a-usurpac-o-na-venezuela-1.75186", "URL")</f>
        <v/>
      </c>
      <c r="K1574">
        <f>HYPERLINK("https://raw.githubusercontent.com/marcosmapl/dataset_imigrantes/main/noticias_filtered/a_critica/venezuelanos/2019/03_abr/html/1.75186_1136.html", "HTML")</f>
        <v/>
      </c>
      <c r="L1574">
        <f>HYPERLINK("https://raw.githubusercontent.com/marcosmapl/dataset_imigrantes/main/noticias_filtered/a_critica/venezuelanos/2019/03_abr/txt/1.75186_1136.txt", "TXT")</f>
        <v/>
      </c>
    </row>
    <row r="1575">
      <c r="A1575" s="1" t="n">
        <v>1573</v>
      </c>
      <c r="B1575" t="n">
        <v>2019</v>
      </c>
      <c r="C1575" s="2" t="n">
        <v>43584.57511884259</v>
      </c>
      <c r="D1575" t="inlineStr">
        <is>
          <t>G1</t>
        </is>
      </c>
      <c r="E1575" t="inlineStr">
        <is>
          <t>VENEZUELANOS</t>
        </is>
      </c>
      <c r="F1575" t="inlineStr">
        <is>
          <t>CEARÁ</t>
        </is>
      </c>
      <c r="G1575" t="inlineStr">
        <is>
          <t>G1 CE</t>
        </is>
      </c>
      <c r="H1575" t="inlineStr">
        <is>
          <t>VENEZUELANO É PRESO COM 8,9 KG DE COCAÍNA NA BAGAGEM NO AEROPORTO DE FORTALEZA</t>
        </is>
      </c>
      <c r="I1575" t="inlineStr">
        <is>
          <t>HOMEM ESTAVA TENTANDO EMBARCAR PARA A ESPANHA COM A DROGA ESCONDIDA EM MALAS.</t>
        </is>
      </c>
      <c r="J1575">
        <f>HYPERLINK("https://g1.globo.com/ce/ceara/noticia/2019/04/29/venezuelano-e-preso-com-89-kg-de-cocaina-na-bagagem-no-aeroporto-de-fortaleza.ghtml", "URL")</f>
        <v/>
      </c>
      <c r="K1575">
        <f>HYPERLINK("https://raw.githubusercontent.com/marcosmapl/dataset_imigrantes/main/noticias_filtered/g1/venezuelanos/2019/03_abr/html/g1_0304f548-2312-11ed-b24f-6dbe51e79fca_2945.html", "HTML")</f>
        <v/>
      </c>
      <c r="L1575">
        <f>HYPERLINK("https://raw.githubusercontent.com/marcosmapl/dataset_imigrantes/main/noticias_filtered/g1/venezuelanos/2019/03_abr/txt/g1_0304f548-2312-11ed-b24f-6dbe51e79fca_2945.txt", "TXT")</f>
        <v/>
      </c>
    </row>
    <row r="1576">
      <c r="A1576" s="1" t="n">
        <v>1574</v>
      </c>
      <c r="B1576" t="n">
        <v>2019</v>
      </c>
      <c r="C1576" s="2" t="n">
        <v>43583.79435276621</v>
      </c>
      <c r="D1576" t="inlineStr">
        <is>
          <t>G1</t>
        </is>
      </c>
      <c r="E1576" t="inlineStr">
        <is>
          <t>VENEZUELANOS</t>
        </is>
      </c>
      <c r="F1576" t="inlineStr">
        <is>
          <t>RORAIMA</t>
        </is>
      </c>
      <c r="G1576" t="inlineStr">
        <is>
          <t>G1 RR — BOA VISTA</t>
        </is>
      </c>
      <c r="H1576" t="inlineStr">
        <is>
          <t>CAMPANHA ARRECADA CALÇADOS PARA DOAR A CRIANÇAS VENEZUELANAS CARENTES EM BOA VISTA</t>
        </is>
      </c>
      <c r="I1576" t="inlineStr">
        <is>
          <t>GRUPO DE VOLUNTÁRIOS QUE DISTRIBUI SOPA A REFUGIADOS NAS RUAS DA CAPITAL ENCONTRA MUITAS CRIANÇAS DESCALÇAS E COM OS PÉS MACHUCADOS: 'DECIDIMOS AJUDAR'. VEJA COMO DOAR.</t>
        </is>
      </c>
      <c r="J1576">
        <f>HYPERLINK("https://g1.globo.com/rr/roraima/noticia/2019/04/28/campanha-arrecada-calcados-para-doar-a-criancas-venezuelanas-carentes-em-boa-vista.ghtml", "URL")</f>
        <v/>
      </c>
      <c r="K1576">
        <f>HYPERLINK("https://raw.githubusercontent.com/marcosmapl/dataset_imigrantes/main/noticias_filtered/g1/venezuelanos/2019/03_abr/html/g1_96b01c02-231f-11ed-b24f-6dbe51e79fca_3632.html", "HTML")</f>
        <v/>
      </c>
      <c r="L1576">
        <f>HYPERLINK("https://raw.githubusercontent.com/marcosmapl/dataset_imigrantes/main/noticias_filtered/g1/venezuelanos/2019/03_abr/txt/g1_96b01c02-231f-11ed-b24f-6dbe51e79fca_3632.txt", "TXT")</f>
        <v/>
      </c>
    </row>
    <row r="1577">
      <c r="A1577" s="1" t="n">
        <v>1575</v>
      </c>
      <c r="B1577" t="n">
        <v>2019</v>
      </c>
      <c r="C1577" s="2" t="n">
        <v>43582.96420519676</v>
      </c>
      <c r="D1577" t="inlineStr">
        <is>
          <t>G1</t>
        </is>
      </c>
      <c r="E1577" t="inlineStr">
        <is>
          <t>HAITIANOS</t>
        </is>
      </c>
      <c r="F1577" t="inlineStr">
        <is>
          <t>MATO GROSSO DO SUL</t>
        </is>
      </c>
      <c r="G1577" t="inlineStr">
        <is>
          <t>TV MORENA — CAMPO GRANDE</t>
        </is>
      </c>
      <c r="H1577" t="inlineStr">
        <is>
          <t>MUNICÍPIO DE CORUMBÁ FAZ MUTIRÃO PARA VACINAR IMIGRANTES HAITIANOS COM A TRÍPLICE VIRAL</t>
        </is>
      </c>
      <c r="I1577" t="inlineStr">
        <is>
          <t>A VACINAÇÃO ACONTECEU EM UM HOTEL NA REGIÃO CENTRAL DA CIDADE, ONDE MAIS DE 80 HAITIANOS ESTÃO HOSPEDADOS. ELES RECEBERAM A VACINA QUE PROTEGE CONTRA SARAMPO RUBÉOLA E CAXUMBA, ANTITETÂNICA, ALÉM DE HEPATITE “B” E FEBRE AMARELA.</t>
        </is>
      </c>
      <c r="J1577">
        <f>HYPERLINK("https://g1.globo.com/ms/mato-grosso-do-sul/noticia/2019/04/27/municipio-de-corumba-faz-mutirao-para-vacinar-imigrantes-haitianos-com-a-triplice-viral.ghtml", "URL")</f>
        <v/>
      </c>
      <c r="K1577">
        <f>HYPERLINK("https://raw.githubusercontent.com/marcosmapl/dataset_imigrantes/main/noticias_filtered/g1/haitianos/2019/03_abr/html/g1_f0d64a66-22f3-11ed-b24f-6dbe51e79fca_1865.html", "HTML")</f>
        <v/>
      </c>
      <c r="L1577">
        <f>HYPERLINK("https://raw.githubusercontent.com/marcosmapl/dataset_imigrantes/main/noticias_filtered/g1/haitianos/2019/03_abr/txt/g1_f0d64a66-22f3-11ed-b24f-6dbe51e79fca_1865.txt", "TXT")</f>
        <v/>
      </c>
    </row>
    <row r="1578">
      <c r="A1578" s="1" t="n">
        <v>1576</v>
      </c>
      <c r="B1578" t="n">
        <v>2019</v>
      </c>
      <c r="C1578" s="2" t="n">
        <v>43582.63449074074</v>
      </c>
      <c r="D1578" t="inlineStr">
        <is>
          <t>A CRITICA</t>
        </is>
      </c>
      <c r="E1578" t="inlineStr">
        <is>
          <t>VENEZUELANOS</t>
        </is>
      </c>
      <c r="F1578" t="inlineStr"/>
      <c r="G1578" t="inlineStr">
        <is>
          <t>PORTAL A CRÍTICA</t>
        </is>
      </c>
      <c r="H1578" t="inlineStr">
        <is>
          <t>COMITIVA DE DEPUTADOS VAI INSPECIONAR FRONTEIRA  BRASIL - VENEZUELA</t>
        </is>
      </c>
      <c r="I1578" t="inlineStr">
        <is>
          <t>DELEGADO PABLO (PSL-AM) PARTICIPARÁ DA VIAGEM, QUE ACONTECE NESTA SEGUNDA-FEIRA, E CONTA COM A PRESENÇA DO DEPUTADO FEDERAL EDUARDO BOLSONARO</t>
        </is>
      </c>
      <c r="J1578">
        <f>HYPERLINK("https://www.acritica.com/comitiva-de-deputados-vai-inspecionar-fronteira-brasil-venezuela-1.70988", "URL")</f>
        <v/>
      </c>
      <c r="K1578">
        <f>HYPERLINK("https://raw.githubusercontent.com/marcosmapl/dataset_imigrantes/main/noticias_filtered/a_critica/venezuelanos/2019/03_abr/html/1.70988_444.html", "HTML")</f>
        <v/>
      </c>
      <c r="L1578">
        <f>HYPERLINK("https://raw.githubusercontent.com/marcosmapl/dataset_imigrantes/main/noticias_filtered/a_critica/venezuelanos/2019/03_abr/txt/1.70988_444.txt", "TXT")</f>
        <v/>
      </c>
    </row>
    <row r="1579">
      <c r="A1579" s="1" t="n">
        <v>1577</v>
      </c>
      <c r="B1579" t="n">
        <v>2019</v>
      </c>
      <c r="C1579" s="2" t="n">
        <v>43581.90943287037</v>
      </c>
      <c r="D1579" t="inlineStr">
        <is>
          <t>A CRITICA</t>
        </is>
      </c>
      <c r="E1579" t="inlineStr">
        <is>
          <t>VENEZUELANOS</t>
        </is>
      </c>
      <c r="F1579" t="inlineStr">
        <is>
          <t>ESPORTES</t>
        </is>
      </c>
      <c r="G1579" t="inlineStr">
        <is>
          <t>PORTAL A CRÍTICA</t>
        </is>
      </c>
      <c r="H1579" t="inlineStr">
        <is>
          <t>ÍDOLOS DO PARÁ E ATOR GLOBAL REFORÇAM DUELO ENTRE AMIGOS DO IRANDUBA E LENDAS DO FLA</t>
        </is>
      </c>
      <c r="I1579" t="inlineStr">
        <is>
          <t>DUELO NA ARENA DA AMAZÔNIA NESTA TERÇA-FEIRA (30) TERÁ PARTICIPAÇÃO DE CHARLES GUERREIRO, LECHEVA, ROBGOL E DO ATOR BRUNO CABRERIZO</t>
        </is>
      </c>
      <c r="J1579">
        <f>HYPERLINK("https://www.acritica.com/esportes/idolos-do-para-e-ator-global-reforcam-duelo-entre-amigos-do-iranduba-e-lendas-do-fla-1.71018", "URL")</f>
        <v/>
      </c>
      <c r="K1579">
        <f>HYPERLINK("https://raw.githubusercontent.com/marcosmapl/dataset_imigrantes/main/noticias_filtered/a_critica/venezuelanos/2019/03_abr/html/1.71018_161.html", "HTML")</f>
        <v/>
      </c>
      <c r="L1579">
        <f>HYPERLINK("https://raw.githubusercontent.com/marcosmapl/dataset_imigrantes/main/noticias_filtered/a_critica/venezuelanos/2019/03_abr/txt/1.71018_161.txt", "TXT")</f>
        <v/>
      </c>
    </row>
    <row r="1580">
      <c r="A1580" s="1" t="n">
        <v>1578</v>
      </c>
      <c r="B1580" t="n">
        <v>2019</v>
      </c>
      <c r="C1580" s="2" t="n">
        <v>43581.66767793981</v>
      </c>
      <c r="D1580" t="inlineStr">
        <is>
          <t>G1</t>
        </is>
      </c>
      <c r="E1580" t="inlineStr">
        <is>
          <t>VENEZUELANOS</t>
        </is>
      </c>
      <c r="F1580" t="inlineStr">
        <is>
          <t>MUNDO</t>
        </is>
      </c>
      <c r="G1580" t="inlineStr"/>
      <c r="H1580" t="inlineStr">
        <is>
          <t>OPOSIÇÃO VENEZUELANA DENUNCIA PRISÃO DE DEPUTADO</t>
        </is>
      </c>
      <c r="I1580" t="inlineStr">
        <is>
          <t>ASSEMBLEIA NACIONAL PUBLICA TUÍTE EM QUE AFIRMA QUE DETENÇÃO VIOLA A IMUNIDADE PARLAMENTAR.</t>
        </is>
      </c>
      <c r="J1580">
        <f>HYPERLINK("https://g1.globo.com/mundo/noticia/2019/04/26/oposicao-venezuelana-denuncia-prisao-de-deputado.ghtml", "URL")</f>
        <v/>
      </c>
      <c r="K1580">
        <f>HYPERLINK("https://raw.githubusercontent.com/marcosmapl/dataset_imigrantes/main/noticias_filtered/g1/venezuelanos/2019/03_abr/html/g1_55f2e562-2321-11ed-b24f-6dbe51e79fca_3694.html", "HTML")</f>
        <v/>
      </c>
      <c r="L1580">
        <f>HYPERLINK("https://raw.githubusercontent.com/marcosmapl/dataset_imigrantes/main/noticias_filtered/g1/venezuelanos/2019/03_abr/txt/g1_55f2e562-2321-11ed-b24f-6dbe51e79fca_3694.txt", "TXT")</f>
        <v/>
      </c>
    </row>
    <row r="1581">
      <c r="A1581" s="1" t="n">
        <v>1579</v>
      </c>
      <c r="B1581" t="n">
        <v>2019</v>
      </c>
      <c r="C1581" s="2" t="n">
        <v>43581.64813657408</v>
      </c>
      <c r="D1581" t="inlineStr">
        <is>
          <t>A CRITICA</t>
        </is>
      </c>
      <c r="E1581" t="inlineStr">
        <is>
          <t>VENEZUELANOS</t>
        </is>
      </c>
      <c r="F1581" t="inlineStr">
        <is>
          <t>POLICIA</t>
        </is>
      </c>
      <c r="G1581" t="inlineStr">
        <is>
          <t>KAROL ROCHA</t>
        </is>
      </c>
      <c r="H1581" t="inlineStr">
        <is>
          <t>HOMEM É PRESO APÓS MATAR VENEZUELANO A TIROS NA PRAÇA DA SAUDADE</t>
        </is>
      </c>
      <c r="I1581" t="inlineStr">
        <is>
          <t>DELEGACIA ESPECIALIZADA EM HOMICÍDIOS E SEQUESTROS (DEHS) INFORMOU QUE RODRIGO LEMOS BACURI, 24, EFETUOU QUATRO DISPAROS CONTRA A VÍTIMA</t>
        </is>
      </c>
      <c r="J1581">
        <f>HYPERLINK("https://www.acritica.com/policia/homem-e-preso-apos-matar-venezuelano-a-tiros-na-praca-da-saudade-1.71044", "URL")</f>
        <v/>
      </c>
      <c r="K1581">
        <f>HYPERLINK("https://raw.githubusercontent.com/marcosmapl/dataset_imigrantes/main/noticias_filtered/a_critica/venezuelanos/2019/03_abr/html/1.71044_1117.html", "HTML")</f>
        <v/>
      </c>
      <c r="L1581">
        <f>HYPERLINK("https://raw.githubusercontent.com/marcosmapl/dataset_imigrantes/main/noticias_filtered/a_critica/venezuelanos/2019/03_abr/txt/1.71044_1117.txt", "TXT")</f>
        <v/>
      </c>
    </row>
    <row r="1582">
      <c r="A1582" s="1" t="n">
        <v>1580</v>
      </c>
      <c r="B1582" t="n">
        <v>2019</v>
      </c>
      <c r="C1582" s="2" t="n">
        <v>43581.5102525</v>
      </c>
      <c r="D1582" t="inlineStr">
        <is>
          <t>G1</t>
        </is>
      </c>
      <c r="E1582" t="inlineStr">
        <is>
          <t>VENEZUELANOS</t>
        </is>
      </c>
      <c r="F1582" t="inlineStr">
        <is>
          <t>AMAZONAS</t>
        </is>
      </c>
      <c r="G1582" t="inlineStr">
        <is>
          <t>G1 AM</t>
        </is>
      </c>
      <c r="H1582" t="inlineStr">
        <is>
          <t>AMBULANTE VENEZUELANO É MORTO A TIROS NA PRAÇA DA SAUDADE, EM MANAUS</t>
        </is>
      </c>
      <c r="I1582" t="inlineStr">
        <is>
          <t>SUSPEITO DE PARTICIPAR DE HOMICÍDIO FOI PRESO.</t>
        </is>
      </c>
      <c r="J1582">
        <f>HYPERLINK("https://g1.globo.com/am/amazonas/noticia/2019/04/26/ambulante-venezuelano-e-morto-a-tiros-na-praca-da-saudade-em-manaus.ghtml", "URL")</f>
        <v/>
      </c>
      <c r="K1582">
        <f>HYPERLINK("https://raw.githubusercontent.com/marcosmapl/dataset_imigrantes/main/noticias_filtered/g1/venezuelanos/2019/03_abr/html/g1_c6bfb0da-231d-11ed-b24f-6dbe51e79fca_3519.html", "HTML")</f>
        <v/>
      </c>
      <c r="L1582">
        <f>HYPERLINK("https://raw.githubusercontent.com/marcosmapl/dataset_imigrantes/main/noticias_filtered/g1/venezuelanos/2019/03_abr/txt/g1_c6bfb0da-231d-11ed-b24f-6dbe51e79fca_3519.txt", "TXT")</f>
        <v/>
      </c>
    </row>
    <row r="1583">
      <c r="A1583" s="1" t="n">
        <v>1581</v>
      </c>
      <c r="B1583" t="n">
        <v>2019</v>
      </c>
      <c r="C1583" s="2" t="n">
        <v>43578.53055555555</v>
      </c>
      <c r="D1583" t="inlineStr">
        <is>
          <t>A CRITICA</t>
        </is>
      </c>
      <c r="E1583" t="inlineStr">
        <is>
          <t>VENEZUELANOS</t>
        </is>
      </c>
      <c r="F1583" t="inlineStr">
        <is>
          <t>MANAUS</t>
        </is>
      </c>
      <c r="G1583" t="inlineStr">
        <is>
          <t>PORTAL A CRÍTICA</t>
        </is>
      </c>
      <c r="H1583" t="inlineStr">
        <is>
          <t>CACIQUE É PRIMEIRO WARAO A INICIAR PROCESSO DE REVALIDAÇÃO DE DIPLOMA EM MANAUS</t>
        </is>
      </c>
      <c r="I1583" t="inlineStr">
        <is>
          <t>NOBERTO JESUS, DE 26 ANOS, NÃO ESTÁ SOZINHO NESSA JORNADA. NO INÍCIO DO MÊS, OUTROS 19 VENEZUELANOS PUDERAM ENTRAR COM O PEDIDO FACILITADO DE REVALIDAÇÃO DE DIPLOMA NA UEA</t>
        </is>
      </c>
      <c r="J1583">
        <f>HYPERLINK("https://www.acritica.com/manaus/cacique-e-primeiro-warao-a-iniciar-processo-de-revalidac-o-de-diploma-em-manaus-1.70814", "URL")</f>
        <v/>
      </c>
      <c r="K1583">
        <f>HYPERLINK("https://raw.githubusercontent.com/marcosmapl/dataset_imigrantes/main/noticias_filtered/a_critica/venezuelanos/2019/03_abr/html/1.70814_365.html", "HTML")</f>
        <v/>
      </c>
      <c r="L1583">
        <f>HYPERLINK("https://raw.githubusercontent.com/marcosmapl/dataset_imigrantes/main/noticias_filtered/a_critica/venezuelanos/2019/03_abr/txt/1.70814_365.txt", "TXT")</f>
        <v/>
      </c>
    </row>
    <row r="1584">
      <c r="A1584" s="1" t="n">
        <v>1582</v>
      </c>
      <c r="B1584" t="n">
        <v>2019</v>
      </c>
      <c r="C1584" s="2" t="n">
        <v>43578.46914305555</v>
      </c>
      <c r="D1584" t="inlineStr">
        <is>
          <t>G1</t>
        </is>
      </c>
      <c r="E1584" t="inlineStr">
        <is>
          <t>VENEZUELANOS</t>
        </is>
      </c>
      <c r="F1584" t="inlineStr">
        <is>
          <t>BAHIA</t>
        </is>
      </c>
      <c r="G1584" t="inlineStr">
        <is>
          <t>RAPHAEL MARQUES, TV BAHIA</t>
        </is>
      </c>
      <c r="H1584" t="inlineStr">
        <is>
          <t>'VIM PARA O BRASIL PARA OFERECER À MINHA FAMÍLIA UMA SITUAÇÃO MELHOR', DIZ VENEZUELANO RESGATADO DE TRABALHO ANÁLOGO AO ESCRAVO</t>
        </is>
      </c>
      <c r="I1584" t="inlineStr">
        <is>
          <t>DEZ VENEZUELANOS FORAM RESGATADOS NA QUINTA-FEIRA (18), NA BR-415, EM ITABUNA. DOIS HOMENS FORAM PRESOS EM FLAGRANTE NA AÇÃO.</t>
        </is>
      </c>
      <c r="J1584">
        <f>HYPERLINK("https://g1.globo.com/ba/bahia/noticia/2019/04/23/venezuelanos-resgatados-de-trabalho-escravo-na-ba-receberao-seguro-desemprego-e-agradecem-ao-brasil-voces-sao-especiais.ghtml", "URL")</f>
        <v/>
      </c>
      <c r="K1584">
        <f>HYPERLINK("https://raw.githubusercontent.com/marcosmapl/dataset_imigrantes/main/noticias_filtered/g1/venezuelanos/2019/03_abr/html/g1_2db77978-2308-11ed-b24f-6dbe51e79fca_2370.html", "HTML")</f>
        <v/>
      </c>
      <c r="L1584">
        <f>HYPERLINK("https://raw.githubusercontent.com/marcosmapl/dataset_imigrantes/main/noticias_filtered/g1/venezuelanos/2019/03_abr/txt/g1_2db77978-2308-11ed-b24f-6dbe51e79fca_2370.txt", "TXT")</f>
        <v/>
      </c>
    </row>
    <row r="1585">
      <c r="A1585" s="1" t="n">
        <v>1583</v>
      </c>
      <c r="B1585" t="n">
        <v>2019</v>
      </c>
      <c r="C1585" s="2" t="n">
        <v>43576.68376443287</v>
      </c>
      <c r="D1585" t="inlineStr">
        <is>
          <t>G1</t>
        </is>
      </c>
      <c r="E1585" t="inlineStr">
        <is>
          <t>VENEZUELANOS</t>
        </is>
      </c>
      <c r="F1585" t="inlineStr"/>
      <c r="G1585" t="inlineStr">
        <is>
          <t>AGÊNCIA EFE</t>
        </is>
      </c>
      <c r="H1585" t="inlineStr">
        <is>
          <t>EM MEIO A RACIONAMENTO DE ENERGIA, ESTADO VENEZUELANO SOFRE OUTRO BLECAUTE</t>
        </is>
      </c>
      <c r="I1585" t="inlineStr">
        <is>
          <t>CORPOELEC AFIRMOU QUE TRABALHA PARA RESTITUIR O SERVIÇO, QUE JÁ É INTERROMPIDO DIARIAMENTE PELO RACIONAMENTO ELÉTRICO APLICADO PELO GOVERNO DE NICOLÁS MADURO EM 20 DOS 23 ESTADOS DO PAÍS DESDE 31 DE MARÇO APÓS A SEQUÊNCIA DE BLECAUTES.</t>
        </is>
      </c>
      <c r="J1585">
        <f>HYPERLINK("https://g1.globo.com/mundo/noticia/2019/04/21/em-meio-a-racionamento-de-energia-estado-venezuelano-sofre-outro-blecaute.ghtml", "URL")</f>
        <v/>
      </c>
      <c r="K1585">
        <f>HYPERLINK("https://raw.githubusercontent.com/marcosmapl/dataset_imigrantes/main/noticias_filtered/g1/venezuelanos/2019/03_abr/html/g1_2c4982ea-2310-11ed-b24f-6dbe51e79fca_2843.html", "HTML")</f>
        <v/>
      </c>
      <c r="L1585">
        <f>HYPERLINK("https://raw.githubusercontent.com/marcosmapl/dataset_imigrantes/main/noticias_filtered/g1/venezuelanos/2019/03_abr/txt/g1_2c4982ea-2310-11ed-b24f-6dbe51e79fca_2843.txt", "TXT")</f>
        <v/>
      </c>
    </row>
    <row r="1586">
      <c r="A1586" s="1" t="n">
        <v>1584</v>
      </c>
      <c r="B1586" t="n">
        <v>2019</v>
      </c>
      <c r="C1586" s="2" t="n">
        <v>43576.51424083333</v>
      </c>
      <c r="D1586" t="inlineStr">
        <is>
          <t>G1</t>
        </is>
      </c>
      <c r="E1586" t="inlineStr">
        <is>
          <t>VENEZUELANOS</t>
        </is>
      </c>
      <c r="F1586" t="inlineStr">
        <is>
          <t>CAMPINAS E REGIÃO</t>
        </is>
      </c>
      <c r="G1586" t="inlineStr">
        <is>
          <t>G1 CAMPINAS E REGIÃO</t>
        </is>
      </c>
      <c r="H1586" t="inlineStr">
        <is>
          <t>RECEITA FEDERAL EM VIRACOPOS FLAGRA VENEZUELANO DE 26 ANOS COM 3 QUILOS DE COCAÍNA</t>
        </is>
      </c>
      <c r="I1586" t="inlineStr">
        <is>
          <t>PASSAGEIRO EMBARCARIA PARA A FRANÇA E A DROGA FOI AVALIADA EM R$ 750 MIL. FOI O SEGUNDO FLAGRANTE EM SEIS DIAS.</t>
        </is>
      </c>
      <c r="J1586">
        <f>HYPERLINK("https://g1.globo.com/sp/campinas-regiao/noticia/2019/04/21/receita-federal-em-viracopos-flagra-venezuelano-com-3-quilos-de-cocaina.ghtml", "URL")</f>
        <v/>
      </c>
      <c r="K1586">
        <f>HYPERLINK("https://raw.githubusercontent.com/marcosmapl/dataset_imigrantes/main/noticias_filtered/g1/venezuelanos/2019/03_abr/html/g1_69849b72-2329-11ed-b24f-6dbe51e79fca_4115.html", "HTML")</f>
        <v/>
      </c>
      <c r="L1586">
        <f>HYPERLINK("https://raw.githubusercontent.com/marcosmapl/dataset_imigrantes/main/noticias_filtered/g1/venezuelanos/2019/03_abr/txt/g1_69849b72-2329-11ed-b24f-6dbe51e79fca_4115.txt", "TXT")</f>
        <v/>
      </c>
    </row>
    <row r="1587">
      <c r="A1587" s="1" t="n">
        <v>1585</v>
      </c>
      <c r="B1587" t="n">
        <v>2019</v>
      </c>
      <c r="C1587" s="2" t="n">
        <v>43575.56111111111</v>
      </c>
      <c r="D1587" t="inlineStr">
        <is>
          <t>A CRITICA</t>
        </is>
      </c>
      <c r="E1587" t="inlineStr">
        <is>
          <t>VENEZUELANOS</t>
        </is>
      </c>
      <c r="F1587" t="inlineStr"/>
      <c r="G1587" t="inlineStr">
        <is>
          <t>AGÊNCIA BRASIL</t>
        </is>
      </c>
      <c r="H1587" t="inlineStr">
        <is>
          <t>FECHAMENTO DA FRONTEIRA COM A VENEZUELA COMPLETA DOIS MESES NESTE DOMINGO</t>
        </is>
      </c>
      <c r="I1587" t="inlineStr">
        <is>
          <t>PARA CONTORNAR O BLOQUEIO E TENTAR CHEGAR AO BRASIL, VENEZUELANOS SE AVENTURAM POR ROTAS ALTERNATIVAS</t>
        </is>
      </c>
      <c r="J1587">
        <f>HYPERLINK("https://www.acritica.com/fechamento-da-fronteira-com-a-venezuela-completa-dois-meses-neste-domingo-1.70468", "URL")</f>
        <v/>
      </c>
      <c r="K1587">
        <f>HYPERLINK("https://raw.githubusercontent.com/marcosmapl/dataset_imigrantes/main/noticias_filtered/a_critica/venezuelanos/2019/03_abr/html/1.70468_338.html", "HTML")</f>
        <v/>
      </c>
      <c r="L1587">
        <f>HYPERLINK("https://raw.githubusercontent.com/marcosmapl/dataset_imigrantes/main/noticias_filtered/a_critica/venezuelanos/2019/03_abr/txt/1.70468_338.txt", "TXT")</f>
        <v/>
      </c>
    </row>
    <row r="1588">
      <c r="A1588" s="1" t="n">
        <v>1586</v>
      </c>
      <c r="B1588" t="n">
        <v>2019</v>
      </c>
      <c r="C1588" s="2" t="n">
        <v>43575.0086572338</v>
      </c>
      <c r="D1588" t="inlineStr">
        <is>
          <t>G1</t>
        </is>
      </c>
      <c r="E1588" t="inlineStr">
        <is>
          <t>VENEZUELANOS</t>
        </is>
      </c>
      <c r="F1588" t="inlineStr">
        <is>
          <t>JORNAL NACIONAL</t>
        </is>
      </c>
      <c r="G1588" t="inlineStr">
        <is>
          <t>JORNAL NACIONAL</t>
        </is>
      </c>
      <c r="H1588" t="inlineStr">
        <is>
          <t>LEVANTAMENTO MOSTRA AVANÇO DAS GUERRILHAS COLOMBIANAS PELO TERRITÓRIO VENEZUELANO</t>
        </is>
      </c>
      <c r="I1588" t="inlineStr">
        <is>
          <t>DE ACORDO COM FUNDAÇÃO, AS GUERRILHAS SE ESPALHARAM POR 12 ESTADOS, DOMINAM TERRITÓRIOS INTEIROS, INCLUSIVE COM ARMAS DO PRÓPRIO GOVERNO DE NICOLÁS MADURO.</t>
        </is>
      </c>
      <c r="J1588">
        <f>HYPERLINK("https://g1.globo.com/jornal-nacional/noticia/2019/04/19/levantamento-mostra-avanco-das-guerrilhas-colombianas-pelo-territorio-venezuelano.ghtml", "URL")</f>
        <v/>
      </c>
      <c r="K1588">
        <f>HYPERLINK("https://raw.githubusercontent.com/marcosmapl/dataset_imigrantes/main/noticias_filtered/g1/venezuelanos/2019/03_abr/html/g1_9c9dd486-232b-11ed-b24f-6dbe51e79fca_4258.html", "HTML")</f>
        <v/>
      </c>
      <c r="L1588">
        <f>HYPERLINK("https://raw.githubusercontent.com/marcosmapl/dataset_imigrantes/main/noticias_filtered/g1/venezuelanos/2019/03_abr/txt/g1_9c9dd486-232b-11ed-b24f-6dbe51e79fca_4258.txt", "TXT")</f>
        <v/>
      </c>
    </row>
    <row r="1589">
      <c r="A1589" s="1" t="n">
        <v>1587</v>
      </c>
      <c r="B1589" t="n">
        <v>2019</v>
      </c>
      <c r="C1589" s="2" t="n">
        <v>43574.78859953704</v>
      </c>
      <c r="D1589" t="inlineStr">
        <is>
          <t>A CRITICA</t>
        </is>
      </c>
      <c r="E1589" t="inlineStr">
        <is>
          <t>VENEZUELANOS</t>
        </is>
      </c>
      <c r="F1589" t="inlineStr"/>
      <c r="G1589" t="inlineStr">
        <is>
          <t>REUTERS</t>
        </is>
      </c>
      <c r="H1589" t="inlineStr">
        <is>
          <t>GUAIDÓ CONVOCA VENEZUELANOS PARA 'MAIOR MARCHA DA HISTÓRIA' CONTRA MADURO</t>
        </is>
      </c>
      <c r="I1589" t="inlineStr">
        <is>
          <t>GUAIDÓ INVOCOU A CONSTITUIÇÃO EM JANEIRO PARA SE AUTOPROCLAMAR PRESIDENTE INTERINO. O LÍDER OPOSITOR FOI RECONHECIDO POR DEZENAS DE PAÍSES QUE REJEITARAM A REELEIÇÃO DE MADURO</t>
        </is>
      </c>
      <c r="J1589">
        <f>HYPERLINK("https://www.acritica.com/guaido-convoca-venezuelanos-para-maior-marcha-da-historia-contra-maduro-1.70488", "URL")</f>
        <v/>
      </c>
      <c r="K1589">
        <f>HYPERLINK("https://raw.githubusercontent.com/marcosmapl/dataset_imigrantes/main/noticias_filtered/a_critica/venezuelanos/2019/03_abr/html/1.70488_325.html", "HTML")</f>
        <v/>
      </c>
      <c r="L1589">
        <f>HYPERLINK("https://raw.githubusercontent.com/marcosmapl/dataset_imigrantes/main/noticias_filtered/a_critica/venezuelanos/2019/03_abr/txt/1.70488_325.txt", "TXT")</f>
        <v/>
      </c>
    </row>
    <row r="1590">
      <c r="A1590" s="1" t="n">
        <v>1588</v>
      </c>
      <c r="B1590" t="n">
        <v>2019</v>
      </c>
      <c r="C1590" s="2" t="n">
        <v>43573.62668981482</v>
      </c>
      <c r="D1590" t="inlineStr">
        <is>
          <t>A CRITICA</t>
        </is>
      </c>
      <c r="E1590" t="inlineStr">
        <is>
          <t>VENEZUELANOS</t>
        </is>
      </c>
      <c r="F1590" t="inlineStr">
        <is>
          <t>POLICIA</t>
        </is>
      </c>
      <c r="G1590" t="inlineStr">
        <is>
          <t>MÁRCIA MONTEIRO</t>
        </is>
      </c>
      <c r="H1590" t="inlineStr">
        <is>
          <t>VENEZUELANO É PRESO SUSPEITO DE TENTAR MATAR FLANELINHA POR DINHEIRO EM MANAUS</t>
        </is>
      </c>
      <c r="I1590" t="inlineStr">
        <is>
          <t>O CRIME TERIA SIDO PLANEJADO PELO SUSPEITO E A COMPANHEIRA DELE. A VÍTIMA INFORMOU QUE ABRIU A PORTA DE CASA QUANDO FOI SURPREENDIDO PELA DUPLA</t>
        </is>
      </c>
      <c r="J1590">
        <f>HYPERLINK("https://www.acritica.com/policia/venezuelano-e-preso-suspeito-de-tentar-matar-flanelinha-por-dinheiro-em-manaus-1.70582", "URL")</f>
        <v/>
      </c>
      <c r="K1590">
        <f>HYPERLINK("https://raw.githubusercontent.com/marcosmapl/dataset_imigrantes/main/noticias_filtered/a_critica/venezuelanos/2019/03_abr/html/1.70582_14.html", "HTML")</f>
        <v/>
      </c>
      <c r="L1590">
        <f>HYPERLINK("https://raw.githubusercontent.com/marcosmapl/dataset_imigrantes/main/noticias_filtered/a_critica/venezuelanos/2019/03_abr/txt/1.70582_14.txt", "TXT")</f>
        <v/>
      </c>
    </row>
    <row r="1591">
      <c r="A1591" s="1" t="n">
        <v>1589</v>
      </c>
      <c r="B1591" t="n">
        <v>2019</v>
      </c>
      <c r="C1591" s="2" t="n">
        <v>43571.65553037037</v>
      </c>
      <c r="D1591" t="inlineStr">
        <is>
          <t>G1</t>
        </is>
      </c>
      <c r="E1591" t="inlineStr">
        <is>
          <t>HAITIANOS</t>
        </is>
      </c>
      <c r="F1591" t="inlineStr">
        <is>
          <t>SUL DE MINAS</t>
        </is>
      </c>
      <c r="G1591" t="inlineStr">
        <is>
          <t>EPTV 1 — EXTREMA, MG</t>
        </is>
      </c>
      <c r="H1591" t="inlineStr">
        <is>
          <t>CABELEIREIRA DE 28 ANOS É MORTA DENTRO DO PRÓPRIO SALÃO EM MG; EX-COMPANHEIRO É SUSPEITO</t>
        </is>
      </c>
      <c r="I1591" t="inlineStr">
        <is>
          <t>CRIME ACONTECEU NA MANHÃ DESTA TERÇA-FEIRA EM EXTREMA. MULHER É HAITIANA E FOI MORTA COM PELO MENOS 20 GOLPES DE TESOURA, DIZ POLÍCIA.</t>
        </is>
      </c>
      <c r="J1591">
        <f>HYPERLINK("https://g1.globo.com/mg/sul-de-minas/noticia/2019/04/16/cabeleireira-de-28-anos-e-morta-dentro-do-proprio-salao-em-extrema-companheiro-e-suspeito-do-crime.ghtml", "URL")</f>
        <v/>
      </c>
      <c r="K1591">
        <f>HYPERLINK("https://raw.githubusercontent.com/marcosmapl/dataset_imigrantes/main/noticias_filtered/g1/haitianos/2019/03_abr/html/g1_f0f57150-2309-11ed-b24f-6dbe51e79fca_2475.html", "HTML")</f>
        <v/>
      </c>
      <c r="L1591">
        <f>HYPERLINK("https://raw.githubusercontent.com/marcosmapl/dataset_imigrantes/main/noticias_filtered/g1/haitianos/2019/03_abr/txt/g1_f0f57150-2309-11ed-b24f-6dbe51e79fca_2475.txt", "TXT")</f>
        <v/>
      </c>
    </row>
    <row r="1592">
      <c r="A1592" s="1" t="n">
        <v>1590</v>
      </c>
      <c r="B1592" t="n">
        <v>2019</v>
      </c>
      <c r="C1592" s="2" t="n">
        <v>43571.65553037037</v>
      </c>
      <c r="D1592" t="inlineStr">
        <is>
          <t>G1</t>
        </is>
      </c>
      <c r="E1592" t="inlineStr">
        <is>
          <t>HAITIANOS</t>
        </is>
      </c>
      <c r="F1592" t="inlineStr">
        <is>
          <t>SUL DE MINAS</t>
        </is>
      </c>
      <c r="G1592" t="inlineStr">
        <is>
          <t>EPTV 1 — EXTREMA, MG</t>
        </is>
      </c>
      <c r="H1592" t="inlineStr">
        <is>
          <t>CABELEIREIRA DE 28 ANOS É MORTA DENTRO DO PRÓPRIO SALÃO EM MG; EX-COMPANHEIRO É SUSPEITO</t>
        </is>
      </c>
      <c r="I1592" t="inlineStr">
        <is>
          <t>CRIME ACONTECEU NA MANHÃ DESTA TERÇA-FEIRA EM EXTREMA. MULHER É HAITIANA E FOI MORTA COM PELO MENOS 20 GOLPES DE TESOURA, DIZ POLÍCIA.</t>
        </is>
      </c>
      <c r="J1592">
        <f>HYPERLINK("https://g1.globo.com/mg/sul-de-minas/noticia/2019/04/16/cabeleireira-de-28-anos-e-morta-dentro-do-proprio-salao-em-extrema-companheiro-e-suspeito-do-crime.ghtml", "URL")</f>
        <v/>
      </c>
      <c r="K1592">
        <f>HYPERLINK("https://raw.githubusercontent.com/marcosmapl/dataset_imigrantes/main/noticias_filtered/g1/haitianos/2019/03_abr/html/g1_c506df25-7e94-4a47-a8ec-921d31044911_1620.html", "HTML")</f>
        <v/>
      </c>
      <c r="L1592">
        <f>HYPERLINK("https://raw.githubusercontent.com/marcosmapl/dataset_imigrantes/main/noticias_filtered/g1/haitianos/2019/03_abr/txt/g1_c506df25-7e94-4a47-a8ec-921d31044911_1620.txt", "TXT")</f>
        <v/>
      </c>
    </row>
    <row r="1593">
      <c r="A1593" s="1" t="n">
        <v>1591</v>
      </c>
      <c r="B1593" t="n">
        <v>2019</v>
      </c>
      <c r="C1593" s="2" t="n">
        <v>43570.87269675926</v>
      </c>
      <c r="D1593" t="inlineStr">
        <is>
          <t>A CRITICA</t>
        </is>
      </c>
      <c r="E1593" t="inlineStr">
        <is>
          <t>VENEZUELANOS</t>
        </is>
      </c>
      <c r="F1593" t="inlineStr">
        <is>
          <t>POLICIA</t>
        </is>
      </c>
      <c r="G1593" t="inlineStr">
        <is>
          <t>PORTAL A CRÍTICA</t>
        </is>
      </c>
      <c r="H1593" t="inlineStr">
        <is>
          <t>PF E PM PRENDEM QUATRO VENEZUELANOS NO AM POR TRÁFICO INTERNACIONAL DE DROGAS</t>
        </is>
      </c>
      <c r="I1593" t="inlineStr">
        <is>
          <t>GRUPO EM TABATINGA ESTAVA COM 12 KG DE COCAÍNA PURA ADQUIRIDA NA COLÔMBIA E ESCONDIDA DEBAIXO DAS ROUPAS. A DROGA TINHA COMO DESTINO A CAPITAL AMAZONENSE</t>
        </is>
      </c>
      <c r="J1593">
        <f>HYPERLINK("https://www.acritica.com/policia/pf-e-pm-prendem-quatro-venezuelanos-no-am-por-trafico-internacional-de-drogas-1.70268", "URL")</f>
        <v/>
      </c>
      <c r="K1593">
        <f>HYPERLINK("https://raw.githubusercontent.com/marcosmapl/dataset_imigrantes/main/noticias_filtered/a_critica/venezuelanos/2019/03_abr/html/1.70268_1362.html", "HTML")</f>
        <v/>
      </c>
      <c r="L1593">
        <f>HYPERLINK("https://raw.githubusercontent.com/marcosmapl/dataset_imigrantes/main/noticias_filtered/a_critica/venezuelanos/2019/03_abr/txt/1.70268_1362.txt", "TXT")</f>
        <v/>
      </c>
    </row>
    <row r="1594">
      <c r="A1594" s="1" t="n">
        <v>1592</v>
      </c>
      <c r="B1594" t="n">
        <v>2019</v>
      </c>
      <c r="C1594" s="2" t="n">
        <v>43568.73649305556</v>
      </c>
      <c r="D1594" t="inlineStr">
        <is>
          <t>A CRITICA</t>
        </is>
      </c>
      <c r="E1594" t="inlineStr">
        <is>
          <t>VENEZUELANOS</t>
        </is>
      </c>
      <c r="F1594" t="inlineStr">
        <is>
          <t>MANAUS</t>
        </is>
      </c>
      <c r="G1594" t="inlineStr">
        <is>
          <t>ACRITICA.COM*</t>
        </is>
      </c>
      <c r="H1594" t="inlineStr">
        <is>
          <t>AÇÃO INTEGRADA DE ÓRGÃOS BUSCA ESPAÇO PARA ÍNDIOS WARAO EM MANAUS</t>
        </is>
      </c>
      <c r="I1594" t="inlineStr">
        <is>
          <t>ATUALMENTE, 448 INDÍGENAS DESSA ETNIA ESTÃO ACOLHIDOS NOS ABRIGOS DOS BAIRROS ALFREDO NASCIMENTO, NA ZONA NORTE, E NA PRAÇA 14 DE JANEIRO, ZONA SUL</t>
        </is>
      </c>
      <c r="J1594">
        <f>HYPERLINK("https://www.acritica.com/manaus/ac-o-integrada-de-org-os-busca-espaco-para-indios-warao-em-manaus-1.70125", "URL")</f>
        <v/>
      </c>
      <c r="K1594">
        <f>HYPERLINK("https://raw.githubusercontent.com/marcosmapl/dataset_imigrantes/main/noticias_filtered/a_critica/venezuelanos/2019/03_abr/html/1.70125_241.html", "HTML")</f>
        <v/>
      </c>
      <c r="L1594">
        <f>HYPERLINK("https://raw.githubusercontent.com/marcosmapl/dataset_imigrantes/main/noticias_filtered/a_critica/venezuelanos/2019/03_abr/txt/1.70125_241.txt", "TXT")</f>
        <v/>
      </c>
    </row>
    <row r="1595">
      <c r="A1595" s="1" t="n">
        <v>1593</v>
      </c>
      <c r="B1595" t="n">
        <v>2019</v>
      </c>
      <c r="C1595" s="2" t="n">
        <v>43565.37561692129</v>
      </c>
      <c r="D1595" t="inlineStr">
        <is>
          <t>G1</t>
        </is>
      </c>
      <c r="E1595" t="inlineStr">
        <is>
          <t>VENEZUELANOS</t>
        </is>
      </c>
      <c r="F1595" t="inlineStr">
        <is>
          <t>PARÁ</t>
        </is>
      </c>
      <c r="G1595" t="inlineStr">
        <is>
          <t>TAYMÃ CARNEIRO, GLAUCE MONTEIRO E GIL SÓTER, G1 PA — BELÉM</t>
        </is>
      </c>
      <c r="H1595" t="inlineStr">
        <is>
          <t>INDÍGENAS VENEZUELANAS REFUGIADAS EM BELÉM CRIAM MARCA DE ARTESANATO E DEIXAM DE PEDIR DINHEIRO NAS RUAS</t>
        </is>
      </c>
      <c r="I1595" t="inlineStr">
        <is>
          <t>O GRUPO ESTÁ PRODUZINDO CESTARIAS, COSTURAS E BIJUTERIAS PARA VENDER PELA INTERNET. NO PRIMEIRO DIA DE VENDAS, SLINGS PARA BEBÊS ESGOTARAM RAPIDAMENTE.</t>
        </is>
      </c>
      <c r="J1595">
        <f>HYPERLINK("https://g1.globo.com/pa/para/noticia/2019/04/10/indigenas-venezuelanas-refugiadas-em-belem-criam-marca-de-artesanato-e-deixam-de-pedir-dinheiro-nas-ruas.ghtml", "URL")</f>
        <v/>
      </c>
      <c r="K1595">
        <f>HYPERLINK("https://raw.githubusercontent.com/marcosmapl/dataset_imigrantes/main/noticias_filtered/g1/venezuelanos/2019/03_abr/html/g1_a274f9aa-2323-11ed-b24f-6dbe51e79fca_3818.html", "HTML")</f>
        <v/>
      </c>
      <c r="L1595">
        <f>HYPERLINK("https://raw.githubusercontent.com/marcosmapl/dataset_imigrantes/main/noticias_filtered/g1/venezuelanos/2019/03_abr/txt/g1_a274f9aa-2323-11ed-b24f-6dbe51e79fca_3818.txt", "TXT")</f>
        <v/>
      </c>
    </row>
    <row r="1596">
      <c r="A1596" s="1" t="n">
        <v>1594</v>
      </c>
      <c r="B1596" t="n">
        <v>2019</v>
      </c>
      <c r="C1596" s="2" t="n">
        <v>43563.84346064815</v>
      </c>
      <c r="D1596" t="inlineStr">
        <is>
          <t>A CRITICA</t>
        </is>
      </c>
      <c r="E1596" t="inlineStr">
        <is>
          <t>VENEZUELANOS</t>
        </is>
      </c>
      <c r="F1596" t="inlineStr">
        <is>
          <t>ESPORTES</t>
        </is>
      </c>
      <c r="G1596" t="inlineStr">
        <is>
          <t>REUTERS</t>
        </is>
      </c>
      <c r="H1596" t="inlineStr">
        <is>
          <t>ÍDOLO DO FUTEBOL ARGENTINO, MARADONA PENSA EM DEIXAR DE TRABALHAR NO MÉXICO</t>
        </is>
      </c>
      <c r="I1596" t="inlineStr">
        <is>
          <t>EX-CRAQUE E ATUAL TÉCNICO DO FUTEBOL, MARADONA DIZ QUE SUA PRESENÇA TEM AFETADO A ROTINA DO CLUBE DORADOS DE SINALOA</t>
        </is>
      </c>
      <c r="J1596">
        <f>HYPERLINK("https://www.acritica.com/esportes/idolo-do-futebol-argentino-maradona-pensa-em-deixar-de-trabalhar-no-mexico-1.69758", "URL")</f>
        <v/>
      </c>
      <c r="K1596">
        <f>HYPERLINK("https://raw.githubusercontent.com/marcosmapl/dataset_imigrantes/main/noticias_filtered/a_critica/venezuelanos/2019/03_abr/html/1.69758_244.html", "HTML")</f>
        <v/>
      </c>
      <c r="L1596">
        <f>HYPERLINK("https://raw.githubusercontent.com/marcosmapl/dataset_imigrantes/main/noticias_filtered/a_critica/venezuelanos/2019/03_abr/txt/1.69758_244.txt", "TXT")</f>
        <v/>
      </c>
    </row>
    <row r="1597">
      <c r="A1597" s="1" t="n">
        <v>1595</v>
      </c>
      <c r="B1597" t="n">
        <v>2019</v>
      </c>
      <c r="C1597" s="2" t="n">
        <v>43562.64693564815</v>
      </c>
      <c r="D1597" t="inlineStr">
        <is>
          <t>G1</t>
        </is>
      </c>
      <c r="E1597" t="inlineStr">
        <is>
          <t>VENEZUELANOS</t>
        </is>
      </c>
      <c r="F1597" t="inlineStr">
        <is>
          <t>RORAIMA</t>
        </is>
      </c>
      <c r="G1597" t="inlineStr">
        <is>
          <t>G1 RR — BOA VISTA</t>
        </is>
      </c>
      <c r="H1597" t="inlineStr">
        <is>
          <t>VENEZUELANO É ENCONTRADO MORTO EM OBRA ONDE TRABALHAVA EM BOA VISTA</t>
        </is>
      </c>
      <c r="I1597" t="inlineStr">
        <is>
          <t>PATRÃO ENCONTROU FUNCIONÁRIO MORTO NA MANHÃ DESTE DOMINGO (7) AO CHEGAR A CONDOMÍNIO EM CONSTRUÇÃO; CELULAR E CARTEIRA DA VÍTIMA SUMIRAM. POLÍCIA INVESTIGA.</t>
        </is>
      </c>
      <c r="J1597">
        <f>HYPERLINK("https://g1.globo.com/rr/roraima/noticia/2019/04/07/venezuelano-e-encontrado-morto-em-obra-onde-trabalhava-em-boa-vista.ghtml", "URL")</f>
        <v/>
      </c>
      <c r="K1597">
        <f>HYPERLINK("https://raw.githubusercontent.com/marcosmapl/dataset_imigrantes/main/noticias_filtered/g1/venezuelanos/2019/03_abr/html/g1_04c0f256-2326-11ed-b24f-6dbe51e79fca_3950.html", "HTML")</f>
        <v/>
      </c>
      <c r="L1597">
        <f>HYPERLINK("https://raw.githubusercontent.com/marcosmapl/dataset_imigrantes/main/noticias_filtered/g1/venezuelanos/2019/03_abr/txt/g1_04c0f256-2326-11ed-b24f-6dbe51e79fca_3950.txt", "TXT")</f>
        <v/>
      </c>
    </row>
    <row r="1598">
      <c r="A1598" s="1" t="n">
        <v>1596</v>
      </c>
      <c r="B1598" t="n">
        <v>2019</v>
      </c>
      <c r="C1598" s="2" t="n">
        <v>43561.57083333333</v>
      </c>
      <c r="D1598" t="inlineStr">
        <is>
          <t>A CRITICA</t>
        </is>
      </c>
      <c r="E1598" t="inlineStr">
        <is>
          <t>VENEZUELANOS</t>
        </is>
      </c>
      <c r="F1598" t="inlineStr"/>
      <c r="G1598" t="inlineStr">
        <is>
          <t>AFP</t>
        </is>
      </c>
      <c r="H1598" t="inlineStr">
        <is>
          <t>GUAIDÓ PRESSIONA MADURO NAS RUAS COM MANIFESTAÇÕES CONTRA APAGÕES</t>
        </is>
      </c>
      <c r="I1598" t="inlineStr">
        <is>
          <t>'VAMOS SEGUIR ATÉ CONSEGUIR O FIM DA USURPAÇÃO', PROMETEU NA SEXTA-FEIRA GUAIDÓ, RECONHECIDO COMO PRESIDENTE INTERINO DA VENEZUELA POR MAIS DE 50 PAÍSES.</t>
        </is>
      </c>
      <c r="J1598">
        <f>HYPERLINK("https://www.acritica.com/guaido-pressiona-maduro-nas-ruas-com-manifestac-es-contra-apag-es-1.69683", "URL")</f>
        <v/>
      </c>
      <c r="K1598">
        <f>HYPERLINK("https://raw.githubusercontent.com/marcosmapl/dataset_imigrantes/main/noticias_filtered/a_critica/venezuelanos/2019/03_abr/html/1.69683_975.html", "HTML")</f>
        <v/>
      </c>
      <c r="L1598">
        <f>HYPERLINK("https://raw.githubusercontent.com/marcosmapl/dataset_imigrantes/main/noticias_filtered/a_critica/venezuelanos/2019/03_abr/txt/1.69683_975.txt", "TXT")</f>
        <v/>
      </c>
    </row>
    <row r="1599">
      <c r="A1599" s="1" t="n">
        <v>1597</v>
      </c>
      <c r="B1599" t="n">
        <v>2019</v>
      </c>
      <c r="C1599" s="2" t="n">
        <v>43560.55364583333</v>
      </c>
      <c r="D1599" t="inlineStr">
        <is>
          <t>A CRITICA</t>
        </is>
      </c>
      <c r="E1599" t="inlineStr">
        <is>
          <t>VENEZUELANOS</t>
        </is>
      </c>
      <c r="F1599" t="inlineStr"/>
      <c r="G1599" t="inlineStr">
        <is>
          <t>AGÊNCIA BRASIL</t>
        </is>
      </c>
      <c r="H1599" t="inlineStr">
        <is>
          <t>POBREZA ATINGE 43,5 MILHÕES DE PESSOAS NO BRASIL, DIZ BANCO MUNDIAL</t>
        </is>
      </c>
      <c r="I1599" t="inlineStr">
        <is>
          <t>O BANCO MUNDIAL AVALIA QUE O FRACO CRESCIMENTO DA AMÉRICA LATINA E CARIBE, ESPECIALMENTE NA AMÉRICA DO SUL, AFETOU OS INDICADORES SOCIAIS NO BRASIL</t>
        </is>
      </c>
      <c r="J1599">
        <f>HYPERLINK("https://www.acritica.com/pobreza-atinge-43-5-milh-es-de-pessoas-no-brasil-diz-banco-mundial-1.71253", "URL")</f>
        <v/>
      </c>
      <c r="K1599">
        <f>HYPERLINK("https://raw.githubusercontent.com/marcosmapl/dataset_imigrantes/main/noticias_filtered/a_critica/venezuelanos/2019/03_abr/html/1.71253_423.html", "HTML")</f>
        <v/>
      </c>
      <c r="L1599">
        <f>HYPERLINK("https://raw.githubusercontent.com/marcosmapl/dataset_imigrantes/main/noticias_filtered/a_critica/venezuelanos/2019/03_abr/txt/1.71253_423.txt", "TXT")</f>
        <v/>
      </c>
    </row>
    <row r="1600">
      <c r="A1600" s="1" t="n">
        <v>1598</v>
      </c>
      <c r="B1600" t="n">
        <v>2019</v>
      </c>
      <c r="C1600" s="2" t="n">
        <v>43558.73255787037</v>
      </c>
      <c r="D1600" t="inlineStr">
        <is>
          <t>A CRITICA</t>
        </is>
      </c>
      <c r="E1600" t="inlineStr">
        <is>
          <t>VENEZUELANOS</t>
        </is>
      </c>
      <c r="F1600" t="inlineStr"/>
      <c r="G1600" t="inlineStr">
        <is>
          <t>FERNANDA CRUZ - AGÊNCIA BRASIL</t>
        </is>
      </c>
      <c r="H1600" t="inlineStr">
        <is>
          <t>ONU LANÇA SITE PARA AJUDAR REFUGIADOS A ENCONTRAR EMPREGO NO BRASIL</t>
        </is>
      </c>
      <c r="I1600" t="inlineStr">
        <is>
          <t>A PLATAFORMA É VOLTADA PARA AS EMPRESAS, QUE PODEM BUSCAR, NO SITE, ORIENTAÇÃO SOBRE O PROCESSO DE CONTRATAÇÃO DE REFUGIADOS</t>
        </is>
      </c>
      <c r="J1600">
        <f>HYPERLINK("https://www.acritica.com/onu-lanca-site-para-ajudar-refugiados-a-encontrar-emprego-no-brasil-1.71364", "URL")</f>
        <v/>
      </c>
      <c r="K1600">
        <f>HYPERLINK("https://raw.githubusercontent.com/marcosmapl/dataset_imigrantes/main/noticias_filtered/a_critica/venezuelanos/2019/03_abr/html/1.71364_422.html", "HTML")</f>
        <v/>
      </c>
      <c r="L1600">
        <f>HYPERLINK("https://raw.githubusercontent.com/marcosmapl/dataset_imigrantes/main/noticias_filtered/a_critica/venezuelanos/2019/03_abr/txt/1.71364_422.txt", "TXT")</f>
        <v/>
      </c>
    </row>
    <row r="1601">
      <c r="A1601" s="1" t="n">
        <v>1599</v>
      </c>
      <c r="B1601" t="n">
        <v>2019</v>
      </c>
      <c r="C1601" s="2" t="n">
        <v>43558.47572020833</v>
      </c>
      <c r="D1601" t="inlineStr">
        <is>
          <t>G1</t>
        </is>
      </c>
      <c r="E1601" t="inlineStr">
        <is>
          <t>HAITIANOS</t>
        </is>
      </c>
      <c r="F1601" t="inlineStr">
        <is>
          <t>DISTRITO FEDERAL</t>
        </is>
      </c>
      <c r="G1601" t="inlineStr">
        <is>
          <t>MARA PULJIZ, TV GLOBO</t>
        </is>
      </c>
      <c r="H1601" t="inlineStr">
        <is>
          <t>GRUPO ESPECIALIZADO EM FURTOS DENTRO DE CASAS É ALVO DE OPERAÇÃO NO VARJÃO, NO DF</t>
        </is>
      </c>
      <c r="I1601" t="inlineStr">
        <is>
          <t>DOIS SUSPEITOS SÃO INVESTIGADOS POR TENTATIVA DE HOMICÍDIO. VÍTIMA É HAITIANO QUE MORA NA REGIÃO.</t>
        </is>
      </c>
      <c r="J1601">
        <f>HYPERLINK("https://g1.globo.com/df/distrito-federal/noticia/2019/04/03/grupo-especializado-em-furtos-dentro-de-casas-e-alvo-de-operacao-no-varjao-no-df.ghtml", "URL")</f>
        <v/>
      </c>
      <c r="K1601">
        <f>HYPERLINK("https://raw.githubusercontent.com/marcosmapl/dataset_imigrantes/main/noticias_filtered/g1/haitianos/2019/03_abr/html/g1_aa86f15a-232a-11ed-b24f-6dbe51e79fca_4194.html", "HTML")</f>
        <v/>
      </c>
      <c r="L1601">
        <f>HYPERLINK("https://raw.githubusercontent.com/marcosmapl/dataset_imigrantes/main/noticias_filtered/g1/haitianos/2019/03_abr/txt/g1_aa86f15a-232a-11ed-b24f-6dbe51e79fca_4194.txt", "TXT")</f>
        <v/>
      </c>
    </row>
    <row r="1602">
      <c r="A1602" s="1" t="n">
        <v>1600</v>
      </c>
      <c r="B1602" t="n">
        <v>2019</v>
      </c>
      <c r="C1602" s="2" t="n">
        <v>43557.87983556713</v>
      </c>
      <c r="D1602" t="inlineStr">
        <is>
          <t>G1</t>
        </is>
      </c>
      <c r="E1602" t="inlineStr">
        <is>
          <t>VENEZUELANOS</t>
        </is>
      </c>
      <c r="F1602" t="inlineStr">
        <is>
          <t>MUNDO</t>
        </is>
      </c>
      <c r="G1602" t="inlineStr">
        <is>
          <t>AGÊNCIA EFE</t>
        </is>
      </c>
      <c r="H1602" t="inlineStr">
        <is>
          <t>VENEZUELANOS ROMPEM BLOQUEIO DE MADURO EM PONTE NA FRONTEIRA COM A COLÔMBIA</t>
        </is>
      </c>
      <c r="I1602" t="inlineStr">
        <is>
          <t>REGIME CHAVISTA ORDENOU FECHAMENTO DAS FRONTEIRAS DURANTE CRISE DA ENTRADA DE AJUDA HUMANITÁRIA À VENEZUELA.</t>
        </is>
      </c>
      <c r="J1602">
        <f>HYPERLINK("https://g1.globo.com/mundo/noticia/2019/04/02/venezuelanos-rompem-bloqueio-de-maduro-em-principal-ponte-na-fronteira-com-a-colombia.ghtml", "URL")</f>
        <v/>
      </c>
      <c r="K1602">
        <f>HYPERLINK("https://raw.githubusercontent.com/marcosmapl/dataset_imigrantes/main/noticias_filtered/g1/venezuelanos/2019/03_abr/html/g1_c6ef584c-231a-11ed-b24f-6dbe51e79fca_3353.html", "HTML")</f>
        <v/>
      </c>
      <c r="L1602">
        <f>HYPERLINK("https://raw.githubusercontent.com/marcosmapl/dataset_imigrantes/main/noticias_filtered/g1/venezuelanos/2019/03_abr/txt/g1_c6ef584c-231a-11ed-b24f-6dbe51e79fca_3353.txt", "TXT")</f>
        <v/>
      </c>
    </row>
    <row r="1603">
      <c r="A1603" s="1" t="n">
        <v>1601</v>
      </c>
      <c r="B1603" t="n">
        <v>2019</v>
      </c>
      <c r="C1603" s="2" t="n">
        <v>43557.04058787037</v>
      </c>
      <c r="D1603" t="inlineStr">
        <is>
          <t>G1</t>
        </is>
      </c>
      <c r="E1603" t="inlineStr">
        <is>
          <t>HAITIANOS</t>
        </is>
      </c>
      <c r="F1603" t="inlineStr">
        <is>
          <t>MUNDO</t>
        </is>
      </c>
      <c r="G1603" t="inlineStr">
        <is>
          <t>FRANCE PRESSE</t>
        </is>
      </c>
      <c r="H1603" t="inlineStr">
        <is>
          <t>IMIGRANTES HAITIANOS MORREM EM NAUFRÁGIO NO MAR DO CARIBE</t>
        </is>
      </c>
      <c r="I1603" t="inlineStr">
        <is>
          <t>EQUIPES DAS ILHAS TURKS E CAICOS E DOS ESTADOS UNIDOS BUSCAM DESAPARECIDOS. NÚMERO DE MORTOS CHEGOU A 15, SEGUNDO AUTORIDADES NORTE-AMERICANAS.</t>
        </is>
      </c>
      <c r="J1603">
        <f>HYPERLINK("https://g1.globo.com/mundo/noticia/2019/04/01/imigrantes-haitianos-morrem-em-naufragio-no-mar-do-caribe.ghtml", "URL")</f>
        <v/>
      </c>
      <c r="K1603">
        <f>HYPERLINK("https://raw.githubusercontent.com/marcosmapl/dataset_imigrantes/main/noticias_filtered/g1/haitianos/2019/03_abr/html/g1_e5a40b7c-22fa-11ed-b24f-6dbe51e79fca_2249.html", "HTML")</f>
        <v/>
      </c>
      <c r="L1603">
        <f>HYPERLINK("https://raw.githubusercontent.com/marcosmapl/dataset_imigrantes/main/noticias_filtered/g1/haitianos/2019/03_abr/txt/g1_e5a40b7c-22fa-11ed-b24f-6dbe51e79fca_2249.txt", "TXT")</f>
        <v/>
      </c>
    </row>
    <row r="1604">
      <c r="A1604" s="1" t="n">
        <v>1602</v>
      </c>
      <c r="B1604" t="n">
        <v>2019</v>
      </c>
      <c r="C1604" s="2" t="n">
        <v>43554.76841435185</v>
      </c>
      <c r="D1604" t="inlineStr">
        <is>
          <t>A CRITICA</t>
        </is>
      </c>
      <c r="E1604" t="inlineStr">
        <is>
          <t>VENEZUELANOS</t>
        </is>
      </c>
      <c r="F1604" t="inlineStr">
        <is>
          <t>POLICIA</t>
        </is>
      </c>
      <c r="G1604" t="inlineStr">
        <is>
          <t>KAROL ROCHA</t>
        </is>
      </c>
      <c r="H1604" t="inlineStr">
        <is>
          <t>TRIO É PRESO SUSPEITO DE INTEGRAR QUADRILHA ESPECIALIZADA EM ADULTERAR CARROS ROUBADOS</t>
        </is>
      </c>
      <c r="I1604" t="inlineStr">
        <is>
          <t>SEGUNDO A POLÍCIA, ELES COMPRAVAM VEÍCULOS ROUBADOS OU FURTADOS EM MANAUS, ADULTERAVA-OS E OS ENCAMINHAVA PARA OUTROS ESTADOS. SETE CARROS FORAM RECUPERADOS</t>
        </is>
      </c>
      <c r="J1604">
        <f>HYPERLINK("https://www.acritica.com/policia/trio-e-preso-suspeito-de-integrar-quadrilha-especializada-em-adulterar-carros-roubados-1.71617", "URL")</f>
        <v/>
      </c>
      <c r="K1604">
        <f>HYPERLINK("https://raw.githubusercontent.com/marcosmapl/dataset_imigrantes/main/noticias_filtered/a_critica/venezuelanos/2019/02_mar/html/1.71617_952.html", "HTML")</f>
        <v/>
      </c>
      <c r="L1604">
        <f>HYPERLINK("https://raw.githubusercontent.com/marcosmapl/dataset_imigrantes/main/noticias_filtered/a_critica/venezuelanos/2019/02_mar/txt/1.71617_952.txt", "TXT")</f>
        <v/>
      </c>
    </row>
    <row r="1605">
      <c r="A1605" s="1" t="n">
        <v>1603</v>
      </c>
      <c r="B1605" t="n">
        <v>2019</v>
      </c>
      <c r="C1605" s="2" t="n">
        <v>43553.93459498842</v>
      </c>
      <c r="D1605" t="inlineStr">
        <is>
          <t>G1</t>
        </is>
      </c>
      <c r="E1605" t="inlineStr">
        <is>
          <t>HAITIANOS</t>
        </is>
      </c>
      <c r="F1605" t="inlineStr">
        <is>
          <t>TRIÂNGULO E ALTO PARANAÍBA</t>
        </is>
      </c>
      <c r="G1605" t="inlineStr">
        <is>
          <t>G1 TRIÂNGULO MINEIRO</t>
        </is>
      </c>
      <c r="H1605" t="inlineStr">
        <is>
          <t>RELATÓRIO FISCAL É O PRÓXIMO PASSO NA INVESTIGAÇÃO DA MORTE DE HAITIANO SOTERRADO EM OBRA DE UBERLÂNDIA</t>
        </is>
      </c>
      <c r="I1605" t="inlineStr">
        <is>
          <t>ETAPA DE FISCALIZAÇÃO QUE VAI COMPOR O RELATÓRIO DE INVESTIGAÇÃO FOI CONCLUÍDA NESTA SEXTA-FEIRA (29). ACIDENTE OCORREU EM SETEMBRO DE 2018. CONTRATANTE SE POSICIONOU SOBRE O CASO.</t>
        </is>
      </c>
      <c r="J1605">
        <f>HYPERLINK("https://g1.globo.com/mg/triangulo-mineiro/noticia/2019/03/29/ministerio-publico-conclui-etapa-de-investigacao-sobre-obra-onde-haitiano-morreu-soterrado-em-uberlandia.ghtml", "URL")</f>
        <v/>
      </c>
      <c r="K1605">
        <f>HYPERLINK("https://raw.githubusercontent.com/marcosmapl/dataset_imigrantes/main/noticias_filtered/g1/haitianos/2019/02_mar/html/g1_99ac9a9a-22f5-11ed-b24f-6dbe51e79fca_1961.html", "HTML")</f>
        <v/>
      </c>
      <c r="L1605">
        <f>HYPERLINK("https://raw.githubusercontent.com/marcosmapl/dataset_imigrantes/main/noticias_filtered/g1/haitianos/2019/02_mar/txt/g1_99ac9a9a-22f5-11ed-b24f-6dbe51e79fca_1961.txt", "TXT")</f>
        <v/>
      </c>
    </row>
    <row r="1606">
      <c r="A1606" s="1" t="n">
        <v>1604</v>
      </c>
      <c r="B1606" t="n">
        <v>2019</v>
      </c>
      <c r="C1606" s="2" t="n">
        <v>43553.93386574074</v>
      </c>
      <c r="D1606" t="inlineStr">
        <is>
          <t>A CRITICA</t>
        </is>
      </c>
      <c r="E1606" t="inlineStr">
        <is>
          <t>VENEZUELANOS</t>
        </is>
      </c>
      <c r="F1606" t="inlineStr">
        <is>
          <t>MANAUS</t>
        </is>
      </c>
      <c r="G1606" t="inlineStr">
        <is>
          <t>ACRÍTICA.COM</t>
        </is>
      </c>
      <c r="H1606" t="inlineStr">
        <is>
          <t>AÇÃO REALOCA EM ABRIGOS 230 VENEZUELANOS QUE VIVIAM NO ENTORNO DA RODOVIÁRIA</t>
        </is>
      </c>
      <c r="I1606" t="inlineStr">
        <is>
          <t>IDOSOS, MULHERES, GESTANTES E FAMÍLIAS COM CRIANÇAS FORAM LEVADOS PARA ESPAÇOS PROVISÓRIOS DA PREFEITURA NOS BAIRROS ALFREDO NASCIMENTO E COROADO</t>
        </is>
      </c>
      <c r="J1606">
        <f>HYPERLINK("https://www.acritica.com/manaus/ac-o-realoca-em-abrigos-230-venezuelanos-que-viviam-no-entorno-da-rodoviaria-1.71662", "URL")</f>
        <v/>
      </c>
      <c r="K1606">
        <f>HYPERLINK("https://raw.githubusercontent.com/marcosmapl/dataset_imigrantes/main/noticias_filtered/a_critica/venezuelanos/2019/02_mar/html/1.71662_1083.html", "HTML")</f>
        <v/>
      </c>
      <c r="L1606">
        <f>HYPERLINK("https://raw.githubusercontent.com/marcosmapl/dataset_imigrantes/main/noticias_filtered/a_critica/venezuelanos/2019/02_mar/txt/1.71662_1083.txt", "TXT")</f>
        <v/>
      </c>
    </row>
    <row r="1607">
      <c r="A1607" s="1" t="n">
        <v>1605</v>
      </c>
      <c r="B1607" t="n">
        <v>2019</v>
      </c>
      <c r="C1607" s="2" t="n">
        <v>43553.69187180555</v>
      </c>
      <c r="D1607" t="inlineStr">
        <is>
          <t>G1</t>
        </is>
      </c>
      <c r="E1607" t="inlineStr">
        <is>
          <t>HAITIANOS</t>
        </is>
      </c>
      <c r="F1607" t="inlineStr">
        <is>
          <t>TRIÂNGULO E ALTO PARANAÍBA</t>
        </is>
      </c>
      <c r="G1607" t="inlineStr">
        <is>
          <t>RODRIGO SCAPOLATEMPORE E MG1, G1 TRIÂNGULO MINEIRO</t>
        </is>
      </c>
      <c r="H1607" t="inlineStr">
        <is>
          <t>PARTE DE INVESTIGAÇÃO SOBRE MORTE DE HAITIANO SOTERRADO EM OBRA DE UBERLÂNDIA É FINALIZADA NESTA SEXTA</t>
        </is>
      </c>
      <c r="I1607" t="inlineStr">
        <is>
          <t>EM SETEMBRO DE 2018, UM OPERÁRIO FOI SOTERRADO NA OBRA DE UM HOSPITAL. VEJA O QUE OS ENVOLVIDOS DISSERAM NA ÉPOCA.</t>
        </is>
      </c>
      <c r="J1607">
        <f>HYPERLINK("https://g1.globo.com/mg/triangulo-mineiro/noticia/2019/03/29/investigacao-sobre-obra-onde-haitiano-morreu-soterrado-em-uberlandia-e-finalizada.ghtml", "URL")</f>
        <v/>
      </c>
      <c r="K1607">
        <f>HYPERLINK("https://raw.githubusercontent.com/marcosmapl/dataset_imigrantes/main/noticias_filtered/g1/haitianos/2019/02_mar/html/g1_de31584a-22fa-11ed-b24f-6dbe51e79fca_2247.html", "HTML")</f>
        <v/>
      </c>
      <c r="L1607">
        <f>HYPERLINK("https://raw.githubusercontent.com/marcosmapl/dataset_imigrantes/main/noticias_filtered/g1/haitianos/2019/02_mar/txt/g1_de31584a-22fa-11ed-b24f-6dbe51e79fca_2247.txt", "TXT")</f>
        <v/>
      </c>
    </row>
    <row r="1608">
      <c r="A1608" s="1" t="n">
        <v>1606</v>
      </c>
      <c r="B1608" t="n">
        <v>2019</v>
      </c>
      <c r="C1608" s="2" t="n">
        <v>43553.49652777778</v>
      </c>
      <c r="D1608" t="inlineStr">
        <is>
          <t>PORTAL AMAZONIA</t>
        </is>
      </c>
      <c r="E1608" t="inlineStr">
        <is>
          <t>VENEZUELANOS</t>
        </is>
      </c>
      <c r="F1608" t="inlineStr">
        <is>
          <t>CIDADES</t>
        </is>
      </c>
      <c r="G1608" t="inlineStr">
        <is>
          <t>REDAÇÃO</t>
        </is>
      </c>
      <c r="H1608" t="inlineStr">
        <is>
          <t>AÇÃO ENTRE ÓRGÃOS PÚBLICOS RETIRA VENEZUELANOS DO ENTORNO DA RODOVIÁRIA DE MANAUS</t>
        </is>
      </c>
      <c r="I1608" t="inlineStr">
        <is>
          <t>UMA AÇÃO INTEGRADA ENVOLVENDO ÓRGÃOS DA PREFEITURA DE MANAUS, GOVERNO DO ESTADO, MINISTÉRIO PÚBLICO FEDERAL (MPF), ALTO COMISSARIADO DAS NAÇÕES UNIDAS PARA OS REFUGIADOS (ACNUR), CONSELHO TUTELAR E DIFERENTES ATORES DA SOCIEDADE CIVIL REALIZOU NA MAD</t>
        </is>
      </c>
      <c r="J1608">
        <f>HYPERLINK("https://portalamazonia.com/noticias/cidades/acao-entre-orgaos-publicos-retira-venezuelanos-do-entorno-da-rodoviaria-de-manaus", "URL")</f>
        <v/>
      </c>
      <c r="K1608">
        <f>HYPERLINK("https://raw.githubusercontent.com/marcosmapl/dataset_imigrantes/main/noticias_filtered/portal_amazonia/venezuelanos/2019/02_mar/html/17455.17455_1449.html", "HTML")</f>
        <v/>
      </c>
      <c r="L1608">
        <f>HYPERLINK("https://raw.githubusercontent.com/marcosmapl/dataset_imigrantes/main/noticias_filtered/portal_amazonia/venezuelanos/2019/02_mar/txt/17455.17455_1449.txt", "TXT")</f>
        <v/>
      </c>
    </row>
    <row r="1609">
      <c r="A1609" s="1" t="n">
        <v>1607</v>
      </c>
      <c r="B1609" t="n">
        <v>2019</v>
      </c>
      <c r="C1609" s="2" t="n">
        <v>43551.81875</v>
      </c>
      <c r="D1609" t="inlineStr">
        <is>
          <t>PORTAL AMAZONIA</t>
        </is>
      </c>
      <c r="E1609" t="inlineStr">
        <is>
          <t>VENEZUELANOS</t>
        </is>
      </c>
      <c r="F1609" t="inlineStr">
        <is>
          <t>CIDADES</t>
        </is>
      </c>
      <c r="G1609" t="inlineStr">
        <is>
          <t>REDAÇÃO</t>
        </is>
      </c>
      <c r="H1609" t="inlineStr">
        <is>
          <t>ÍNDIOS TOMAM AS RUAS DE CIDADES DA AMAZÔNIA EM PROTESTOS CONTRA EXTINÇÃO DA SESAI</t>
        </is>
      </c>
      <c r="I1609" t="inlineStr">
        <is>
          <t>DIVERSOS POVOS INDÍGENAS TOMARAM AS RUAS DE CIDADES DA AMAZÔNIA EM PROTESTOS CONTRA A EXTINÇÃO DA SECRETARIA ESPECIAL DE SAÚDE INDÍGENA (SESAI), ANUNCIADA PELO MINISTRO DA SAÚDE, LUIZ HENRIQUE MANDETTA NO ÚLTIMO DIA 20. ATOS FORAM REGISTRADOS NAS CAP</t>
        </is>
      </c>
      <c r="J1609">
        <f>HYPERLINK("https://portalamazonia.com/noticias/cidades/indios-tomam-as-ruas-de-cidades-da-amazonia-em-protestos-contra-extincao-da-sesai", "URL")</f>
        <v/>
      </c>
      <c r="K1609">
        <f>HYPERLINK("https://raw.githubusercontent.com/marcosmapl/dataset_imigrantes/main/noticias_filtered/portal_amazonia/venezuelanos/2019/02_mar/html/17445.17445_1399.html", "HTML")</f>
        <v/>
      </c>
      <c r="L1609">
        <f>HYPERLINK("https://raw.githubusercontent.com/marcosmapl/dataset_imigrantes/main/noticias_filtered/portal_amazonia/venezuelanos/2019/02_mar/txt/17445.17445_1399.txt", "TXT")</f>
        <v/>
      </c>
    </row>
    <row r="1610">
      <c r="A1610" s="1" t="n">
        <v>1608</v>
      </c>
      <c r="B1610" t="n">
        <v>2019</v>
      </c>
      <c r="C1610" s="2" t="n">
        <v>43550.98472222222</v>
      </c>
      <c r="D1610" t="inlineStr">
        <is>
          <t>A CRITICA</t>
        </is>
      </c>
      <c r="E1610" t="inlineStr">
        <is>
          <t>VENEZUELANOS</t>
        </is>
      </c>
      <c r="F1610" t="inlineStr"/>
      <c r="G1610" t="inlineStr">
        <is>
          <t>AGÊNCIA BRASIL</t>
        </is>
      </c>
      <c r="H1610" t="inlineStr">
        <is>
          <t>VENEZUELA TEM FORNECIMENTO DE ENERGIA ELÉTRICA NOVAMENTE SUSPENSO</t>
        </is>
      </c>
      <c r="I1610" t="inlineStr">
        <is>
          <t>AS AUTORIDADES DO PAÍS ATRIBUEM A PANE NO SISTEMA ELÉTRICO A UMA SABOTAGEM DE ADVERSÁRIOS POLÍTICOS NA USINA HIDRELÉTRICA SIMON BOLÍVAR</t>
        </is>
      </c>
      <c r="J1610">
        <f>HYPERLINK("https://www.acritica.com/venezuela-tem-fornecimento-de-energia-eletrica-novamente-suspenso-1.72280", "URL")</f>
        <v/>
      </c>
      <c r="K1610">
        <f>HYPERLINK("https://raw.githubusercontent.com/marcosmapl/dataset_imigrantes/main/noticias_filtered/a_critica/venezuelanos/2019/02_mar/html/1.72280_1271.html", "HTML")</f>
        <v/>
      </c>
      <c r="L1610">
        <f>HYPERLINK("https://raw.githubusercontent.com/marcosmapl/dataset_imigrantes/main/noticias_filtered/a_critica/venezuelanos/2019/02_mar/txt/1.72280_1271.txt", "TXT")</f>
        <v/>
      </c>
    </row>
    <row r="1611">
      <c r="A1611" s="1" t="n">
        <v>1609</v>
      </c>
      <c r="B1611" t="n">
        <v>2019</v>
      </c>
      <c r="C1611" s="2" t="n">
        <v>43549.94439711806</v>
      </c>
      <c r="D1611" t="inlineStr">
        <is>
          <t>G1</t>
        </is>
      </c>
      <c r="E1611" t="inlineStr">
        <is>
          <t>HAITIANOS</t>
        </is>
      </c>
      <c r="F1611" t="inlineStr">
        <is>
          <t>SUL DE MINAS</t>
        </is>
      </c>
      <c r="G1611" t="inlineStr">
        <is>
          <t>EPTV 2 — POUSO ALEGRE, MG</t>
        </is>
      </c>
      <c r="H1611" t="inlineStr">
        <is>
          <t>INICIATIVA PÚBLICO-PRIVADA PRETENDE DAR EMPREGO A HAITIANOS QUE VIVEM EM POUSO ALEGRE, MG</t>
        </is>
      </c>
      <c r="I1611" t="inlineStr">
        <is>
          <t>SEGUNDO LEVANTAMENTO PELO MENOS 100 DELES VIVEM NA CIDADE, MAS A MAIORIA TRABALHA SEM CARTEIRA ASSINADA.</t>
        </is>
      </c>
      <c r="J1611">
        <f>HYPERLINK("https://g1.globo.com/mg/sul-de-minas/noticia/2019/03/25/iniciativa-publico-privada-pretende-dar-emprego-a-haitianos-que-vivem-em-pouso-alegre-mg.ghtml", "URL")</f>
        <v/>
      </c>
      <c r="K1611">
        <f>HYPERLINK("https://raw.githubusercontent.com/marcosmapl/dataset_imigrantes/main/noticias_filtered/g1/haitianos/2019/02_mar/html/g1_f40b6280-22f7-11ed-b24f-6dbe51e79fca_2107.html", "HTML")</f>
        <v/>
      </c>
      <c r="L1611">
        <f>HYPERLINK("https://raw.githubusercontent.com/marcosmapl/dataset_imigrantes/main/noticias_filtered/g1/haitianos/2019/02_mar/txt/g1_f40b6280-22f7-11ed-b24f-6dbe51e79fca_2107.txt", "TXT")</f>
        <v/>
      </c>
    </row>
    <row r="1612">
      <c r="A1612" s="1" t="n">
        <v>1610</v>
      </c>
      <c r="B1612" t="n">
        <v>2019</v>
      </c>
      <c r="C1612" s="2" t="n">
        <v>43549.86944444444</v>
      </c>
      <c r="D1612" t="inlineStr">
        <is>
          <t>A CRITICA</t>
        </is>
      </c>
      <c r="E1612" t="inlineStr">
        <is>
          <t>VENEZUELANOS</t>
        </is>
      </c>
      <c r="F1612" t="inlineStr"/>
      <c r="G1612" t="inlineStr">
        <is>
          <t>ACRÍTICA.COM</t>
        </is>
      </c>
      <c r="H1612" t="inlineStr">
        <is>
          <t>CRISE NA VENEZUELA FOI 'ARTIFICIALMENTE GERADA', DIZ MANIFESTO PRÓ-MADURO NO AM</t>
        </is>
      </c>
      <c r="I1612" t="inlineStr">
        <is>
          <t>DOCUMENTO ELABORADO PELA INICIATIVA AMAZONENSE EM APOIO À PAZ NA VENEZUELA DEFINE COMO "COVARDE" A CAMPANHA REALIZADA PELA DIREITA NO PAÍS</t>
        </is>
      </c>
      <c r="J1612">
        <f>HYPERLINK("https://www.acritica.com/crise-na-venezuela-foi-artificialmente-gerada-diz-manifesto-pro-maduro-no-am-1.72698", "URL")</f>
        <v/>
      </c>
      <c r="K1612">
        <f>HYPERLINK("https://raw.githubusercontent.com/marcosmapl/dataset_imigrantes/main/noticias_filtered/a_critica/venezuelanos/2019/02_mar/html/1.72698_249.html", "HTML")</f>
        <v/>
      </c>
      <c r="L1612">
        <f>HYPERLINK("https://raw.githubusercontent.com/marcosmapl/dataset_imigrantes/main/noticias_filtered/a_critica/venezuelanos/2019/02_mar/txt/1.72698_249.txt", "TXT")</f>
        <v/>
      </c>
    </row>
    <row r="1613">
      <c r="A1613" s="1" t="n">
        <v>1611</v>
      </c>
      <c r="B1613" t="n">
        <v>2019</v>
      </c>
      <c r="C1613" s="2" t="n">
        <v>43548.88498842593</v>
      </c>
      <c r="D1613" t="inlineStr">
        <is>
          <t>A CRITICA</t>
        </is>
      </c>
      <c r="E1613" t="inlineStr">
        <is>
          <t>VENEZUELANOS</t>
        </is>
      </c>
      <c r="F1613" t="inlineStr"/>
      <c r="G1613" t="inlineStr">
        <is>
          <t>ACRÍTICA.COM</t>
        </is>
      </c>
      <c r="H1613" t="inlineStr">
        <is>
          <t>AÇÃO SOCIAL ATENDE MAIS DE 80 VENEZUELANAS NO MÊS DAS MULHERES</t>
        </is>
      </c>
      <c r="I1613" t="inlineStr">
        <is>
          <t>#PORELAS ACONTECEU NESTE SÁBADO E  CONTOU COM SERVIÇOS DE BELEZA, DOAÇÕES DE ROUPAS E ORIENTAÇÕES PARA INGRESSAR NO MERCADO DE TRABALHO</t>
        </is>
      </c>
      <c r="J1613">
        <f>HYPERLINK("https://www.acritica.com/ac-o-social-atende-mais-de-80-venezuelanas-no-mes-das-mulheres-1.72332", "URL")</f>
        <v/>
      </c>
      <c r="K1613">
        <f>HYPERLINK("https://raw.githubusercontent.com/marcosmapl/dataset_imigrantes/main/noticias_filtered/a_critica/venezuelanos/2019/02_mar/html/1.72332_889.html", "HTML")</f>
        <v/>
      </c>
      <c r="L1613">
        <f>HYPERLINK("https://raw.githubusercontent.com/marcosmapl/dataset_imigrantes/main/noticias_filtered/a_critica/venezuelanos/2019/02_mar/txt/1.72332_889.txt", "TXT")</f>
        <v/>
      </c>
    </row>
    <row r="1614">
      <c r="A1614" s="1" t="n">
        <v>1612</v>
      </c>
      <c r="B1614" t="n">
        <v>2019</v>
      </c>
      <c r="C1614" s="2" t="n">
        <v>43548.8304607176</v>
      </c>
      <c r="D1614" t="inlineStr">
        <is>
          <t>G1</t>
        </is>
      </c>
      <c r="E1614" t="inlineStr">
        <is>
          <t>HAITIANOS</t>
        </is>
      </c>
      <c r="F1614" t="inlineStr">
        <is>
          <t>PERNAMBUCO</t>
        </is>
      </c>
      <c r="G1614" t="inlineStr">
        <is>
          <t>G1 PE</t>
        </is>
      </c>
      <c r="H1614" t="inlineStr">
        <is>
          <t>HAITIANO É DETIDO PELA PF NO AEROPORTO DO RECIFE AO TENTAR EMBARCAR COM PASSAPORTE DE TERCEIRO</t>
        </is>
      </c>
      <c r="I1614" t="inlineStr">
        <is>
          <t>HOMEM TENTAVA EMBARCAR PARA MADRI NA NOITE DO SÁBADO (23) QUANDO FOI DETIDO POR POLICIAIS FEDERAIS. PASSAPORTE USADO POR ELE CONSTAVA COMO EXTRAVIADO DESDE A QUINTA (20).</t>
        </is>
      </c>
      <c r="J1614">
        <f>HYPERLINK("https://g1.globo.com/pe/pernambuco/noticia/2019/03/24/haitiano-e-detido-pela-pf-no-aeroporto-do-recife-ao-tentar-embarcar-com-passaporte-de-terceiro.ghtml", "URL")</f>
        <v/>
      </c>
      <c r="K1614">
        <f>HYPERLINK("https://raw.githubusercontent.com/marcosmapl/dataset_imigrantes/main/noticias_filtered/g1/haitianos/2019/02_mar/html/g1_85cb7dac-22fa-11ed-b24f-6dbe51e79fca_2225.html", "HTML")</f>
        <v/>
      </c>
      <c r="L1614">
        <f>HYPERLINK("https://raw.githubusercontent.com/marcosmapl/dataset_imigrantes/main/noticias_filtered/g1/haitianos/2019/02_mar/txt/g1_85cb7dac-22fa-11ed-b24f-6dbe51e79fca_2225.txt", "TXT")</f>
        <v/>
      </c>
    </row>
    <row r="1615">
      <c r="A1615" s="1" t="n">
        <v>1613</v>
      </c>
      <c r="B1615" t="n">
        <v>2019</v>
      </c>
      <c r="C1615" s="2" t="n">
        <v>43548.73766203703</v>
      </c>
      <c r="D1615" t="inlineStr">
        <is>
          <t>A CRITICA</t>
        </is>
      </c>
      <c r="E1615" t="inlineStr">
        <is>
          <t>VENEZUELANOS</t>
        </is>
      </c>
      <c r="F1615" t="inlineStr"/>
      <c r="G1615" t="inlineStr">
        <is>
          <t>AFP</t>
        </is>
      </c>
      <c r="H1615" t="inlineStr">
        <is>
          <t>AVIÃO DE RUSSO ESTÁ NA VENEZUELA ENTRE RUMORES SOBRE CHEGADA DE MILITARES</t>
        </is>
      </c>
      <c r="I1615" t="inlineStr">
        <is>
          <t>A AERONAVE ESTÁ PROTEGIDA POR MEMBROS DA GUARDA NACIONAL NO AEROPORTO. DE ACORDO COM O JORNAL EL NACIONAL, 35 TONELADAS DE MATERIAIS CHEGARAM COM A MISSÃO MILITAR.</t>
        </is>
      </c>
      <c r="J1615">
        <f>HYPERLINK("https://www.acritica.com/avi-o-de-russo-esta-na-venezuela-entre-rumores-sobre-chegada-de-militares-1.72348", "URL")</f>
        <v/>
      </c>
      <c r="K1615">
        <f>HYPERLINK("https://raw.githubusercontent.com/marcosmapl/dataset_imigrantes/main/noticias_filtered/a_critica/venezuelanos/2019/02_mar/html/1.72348_1041.html", "HTML")</f>
        <v/>
      </c>
      <c r="L1615">
        <f>HYPERLINK("https://raw.githubusercontent.com/marcosmapl/dataset_imigrantes/main/noticias_filtered/a_critica/venezuelanos/2019/02_mar/txt/1.72348_1041.txt", "TXT")</f>
        <v/>
      </c>
    </row>
    <row r="1616">
      <c r="A1616" s="1" t="n">
        <v>1614</v>
      </c>
      <c r="B1616" t="n">
        <v>2019</v>
      </c>
      <c r="C1616" s="2" t="n">
        <v>43547.77238425926</v>
      </c>
      <c r="D1616" t="inlineStr">
        <is>
          <t>A CRITICA</t>
        </is>
      </c>
      <c r="E1616" t="inlineStr">
        <is>
          <t>VENEZUELANOS</t>
        </is>
      </c>
      <c r="F1616" t="inlineStr">
        <is>
          <t>MANAUS</t>
        </is>
      </c>
      <c r="G1616" t="inlineStr">
        <is>
          <t>SUELEN GONÇALVES</t>
        </is>
      </c>
      <c r="H1616" t="inlineStr">
        <is>
          <t>MOVIMENTOS DE ESQUERDA DE MANAUS FAZEM MANIFESTO PRÓ-MADURO PEDINDO PAZ</t>
        </is>
      </c>
      <c r="I1616" t="inlineStr">
        <is>
          <t>UM DOCUMENTO COM 19 PONTOS DESCREVENDO AS RAZÕES DO APOIO AO GOVERNO MADURO E À ORDEM NA VENEZUELA FOI APRESENTADO NO CONSULADO DO PAÍS, NA MANHÃ DESTE SÁBADO</t>
        </is>
      </c>
      <c r="J1616">
        <f>HYPERLINK("https://www.acritica.com/manaus/movimentos-de-esquerda-de-manaus-fazem-manifesto-pro-maduro-pedindo-paz-1.71877", "URL")</f>
        <v/>
      </c>
      <c r="K1616">
        <f>HYPERLINK("https://raw.githubusercontent.com/marcosmapl/dataset_imigrantes/main/noticias_filtered/a_critica/venezuelanos/2019/02_mar/html/1.71877_67.html", "HTML")</f>
        <v/>
      </c>
      <c r="L1616">
        <f>HYPERLINK("https://raw.githubusercontent.com/marcosmapl/dataset_imigrantes/main/noticias_filtered/a_critica/venezuelanos/2019/02_mar/txt/1.71877_67.txt", "TXT")</f>
        <v/>
      </c>
    </row>
    <row r="1617">
      <c r="A1617" s="1" t="n">
        <v>1615</v>
      </c>
      <c r="B1617" t="n">
        <v>2019</v>
      </c>
      <c r="C1617" s="2" t="n">
        <v>43547.58904925926</v>
      </c>
      <c r="D1617" t="inlineStr">
        <is>
          <t>G1</t>
        </is>
      </c>
      <c r="E1617" t="inlineStr">
        <is>
          <t>VENEZUELANOS</t>
        </is>
      </c>
      <c r="F1617" t="inlineStr">
        <is>
          <t>RORAIMA</t>
        </is>
      </c>
      <c r="G1617" t="inlineStr">
        <is>
          <t>EMILY COSTA, G1 RR — BOA VISTA</t>
        </is>
      </c>
      <c r="H1617" t="inlineStr">
        <is>
          <t>NA CONTRAMÃO DO ÊXODO, FAMÍLIA VENEZUELANA VIAJA 7 MIL KM E SE ARRISCA EM VOLTA PARA CASA</t>
        </is>
      </c>
      <c r="I1617" t="inlineStr">
        <is>
          <t>QUINZE DIAS APÓS SE MUDAR PARA ARGENTINA, FAMÍLIA VIVEU SAGA PARA REGRESSAR AO PAÍS EM MEIO A CONFLITOS E BLOQUEIO NA FRONTEIRA DO BRASIL. 'MESMO COM A CRISE, COM A INSEGURANÇA, COM TUDO, ESCOLHEMOS VOLTAR PARA A VENEZUELA, NOSSO PAÍS. SE MADURO CAI, OUTROS FARÃO'.</t>
        </is>
      </c>
      <c r="J1617">
        <f>HYPERLINK("https://g1.globo.com/rr/roraima/noticia/2019/03/23/na-contramao-do-exodo-familia-venezuelana-viaja-7-mil-km-e-se-arrisca-em-volta-para-casa.ghtml", "URL")</f>
        <v/>
      </c>
      <c r="K1617">
        <f>HYPERLINK("https://raw.githubusercontent.com/marcosmapl/dataset_imigrantes/main/noticias_filtered/g1/venezuelanos/2019/02_mar/html/g1_0b728d5a-230b-11ed-b24f-6dbe51e79fca_2540.html", "HTML")</f>
        <v/>
      </c>
      <c r="L1617">
        <f>HYPERLINK("https://raw.githubusercontent.com/marcosmapl/dataset_imigrantes/main/noticias_filtered/g1/venezuelanos/2019/02_mar/txt/g1_0b728d5a-230b-11ed-b24f-6dbe51e79fca_2540.txt", "TXT")</f>
        <v/>
      </c>
    </row>
    <row r="1618">
      <c r="A1618" s="1" t="n">
        <v>1616</v>
      </c>
      <c r="B1618" t="n">
        <v>2019</v>
      </c>
      <c r="C1618" s="2" t="n">
        <v>43547.52680518518</v>
      </c>
      <c r="D1618" t="inlineStr">
        <is>
          <t>G1</t>
        </is>
      </c>
      <c r="E1618" t="inlineStr">
        <is>
          <t>HAITIANOS</t>
        </is>
      </c>
      <c r="F1618" t="inlineStr">
        <is>
          <t>RONDÔNIA</t>
        </is>
      </c>
      <c r="G1618" t="inlineStr">
        <is>
          <t>G1 RO</t>
        </is>
      </c>
      <c r="H1618" t="inlineStr">
        <is>
          <t>JOVEM DE 19 ANOS SE TORNA PRIMEIRA HAITIANA A SER APROVADA NA UNIR, EM RO</t>
        </is>
      </c>
      <c r="I1618" t="inlineStr">
        <is>
          <t>VERÔNICA BATISTA EXUNTUS VEIO PARA RONDÔNIA EM 2015 DEVIDO UM TERREMOTO QUE ATINGIU O HAITI. ESTUDANTE É A PRIMEIRA PESSOA DA FAMÍLIA A CURSAR O NÍVEL SUPERIOR.</t>
        </is>
      </c>
      <c r="J1618">
        <f>HYPERLINK("https://g1.globo.com/ro/rondonia/noticia/2019/03/23/jovem-de-19-anos-se-torna-a-primeira-haitiana-a-ser-aprovada-na-unir-em-ro.ghtml", "URL")</f>
        <v/>
      </c>
      <c r="K1618">
        <f>HYPERLINK("https://raw.githubusercontent.com/marcosmapl/dataset_imigrantes/main/noticias_filtered/g1/haitianos/2019/02_mar/html/g1_0b055992-231f-11ed-b24f-6dbe51e79fca_3597.html", "HTML")</f>
        <v/>
      </c>
      <c r="L1618">
        <f>HYPERLINK("https://raw.githubusercontent.com/marcosmapl/dataset_imigrantes/main/noticias_filtered/g1/haitianos/2019/02_mar/txt/g1_0b055992-231f-11ed-b24f-6dbe51e79fca_3597.txt", "TXT")</f>
        <v/>
      </c>
    </row>
    <row r="1619">
      <c r="A1619" s="1" t="n">
        <v>1617</v>
      </c>
      <c r="B1619" t="n">
        <v>2019</v>
      </c>
      <c r="C1619" s="2" t="n">
        <v>43545.75258314815</v>
      </c>
      <c r="D1619" t="inlineStr">
        <is>
          <t>G1</t>
        </is>
      </c>
      <c r="E1619" t="inlineStr">
        <is>
          <t>VENEZUELANOS</t>
        </is>
      </c>
      <c r="F1619" t="inlineStr">
        <is>
          <t>AMAZONAS</t>
        </is>
      </c>
      <c r="G1619" t="inlineStr">
        <is>
          <t>G1 AM</t>
        </is>
      </c>
      <c r="H1619" t="inlineStr">
        <is>
          <t>PROJETO OFERECE DIA DA BELEZA PARA VENEZUELANAS EM MANAUS</t>
        </is>
      </c>
      <c r="I1619" t="inlineStr">
        <is>
          <t>DESDE CORTES DE CABELOS ATÉ PALESTRA SOBRE O COMBATE À VIOLÊNCIA DOMÉSTICA ESTÃO ENTRE OS SERVIÇOS OFERECIDOS PARA VENEZUELANAS.</t>
        </is>
      </c>
      <c r="J1619">
        <f>HYPERLINK("https://g1.globo.com/am/amazonas/noticia/2019/03/21/projeto-oferece-dia-da-beleza-para-venezuelanas-em-manaus.ghtml", "URL")</f>
        <v/>
      </c>
      <c r="K1619">
        <f>HYPERLINK("https://raw.githubusercontent.com/marcosmapl/dataset_imigrantes/main/noticias_filtered/g1/venezuelanos/2019/02_mar/html/g1_42147544-2324-11ed-b24f-6dbe51e79fca_3859.html", "HTML")</f>
        <v/>
      </c>
      <c r="L1619">
        <f>HYPERLINK("https://raw.githubusercontent.com/marcosmapl/dataset_imigrantes/main/noticias_filtered/g1/venezuelanos/2019/02_mar/txt/g1_42147544-2324-11ed-b24f-6dbe51e79fca_3859.txt", "TXT")</f>
        <v/>
      </c>
    </row>
    <row r="1620">
      <c r="A1620" s="1" t="n">
        <v>1618</v>
      </c>
      <c r="B1620" t="n">
        <v>2019</v>
      </c>
      <c r="C1620" s="2" t="n">
        <v>43545.68619546296</v>
      </c>
      <c r="D1620" t="inlineStr">
        <is>
          <t>G1</t>
        </is>
      </c>
      <c r="E1620" t="inlineStr">
        <is>
          <t>VENEZUELANOS</t>
        </is>
      </c>
      <c r="F1620" t="inlineStr">
        <is>
          <t>RORAIMA</t>
        </is>
      </c>
      <c r="G1620" t="inlineStr">
        <is>
          <t>ALAN CHAVES, G1 RR — BOA VISTA</t>
        </is>
      </c>
      <c r="H1620" t="inlineStr">
        <is>
          <t>COM FRONTEIRA FECHADA HÁ 28 DIAS, RORAIMA DECRETA EMERGÊNCIA DEVIDO À MIGRAÇÃO VENEZUELANA</t>
        </is>
      </c>
      <c r="I1620" t="inlineStr">
        <is>
          <t>ANTONIO DENARIUM (PSL) CITOU "SÉRIAS DIFICULDADES ENFRENTADAS PELAS EQUIPES ESTADUAIS" NO APOIO HUMANITÁRIO DE VENEZUELANOS. MEDIDA COLOCA SEGURANÇA E ASSISTÊNCIA SOCIAL EM ALERTA MÁXIMO; FRONTEIRA DA VENEZUELA FOI FECHADA NO DIA 21 DE FEVEREIRO.</t>
        </is>
      </c>
      <c r="J1620">
        <f>HYPERLINK("https://g1.globo.com/rr/roraima/noticia/2019/03/21/com-fronteira-fechada-ha-28-dias-roraima-decreta-emergencia-devido-a-migracao-venezuelana.ghtml", "URL")</f>
        <v/>
      </c>
      <c r="K1620">
        <f>HYPERLINK("https://raw.githubusercontent.com/marcosmapl/dataset_imigrantes/main/noticias_filtered/g1/venezuelanos/2019/02_mar/html/g1_4070a5bc-2321-11ed-b24f-6dbe51e79fca_3688.html", "HTML")</f>
        <v/>
      </c>
      <c r="L1620">
        <f>HYPERLINK("https://raw.githubusercontent.com/marcosmapl/dataset_imigrantes/main/noticias_filtered/g1/venezuelanos/2019/02_mar/txt/g1_4070a5bc-2321-11ed-b24f-6dbe51e79fca_3688.txt", "TXT")</f>
        <v/>
      </c>
    </row>
    <row r="1621">
      <c r="A1621" s="1" t="n">
        <v>1619</v>
      </c>
      <c r="B1621" t="n">
        <v>2019</v>
      </c>
      <c r="C1621" s="2" t="n">
        <v>43543.62271990741</v>
      </c>
      <c r="D1621" t="inlineStr">
        <is>
          <t>A CRITICA</t>
        </is>
      </c>
      <c r="E1621" t="inlineStr">
        <is>
          <t>VENEZUELANOS</t>
        </is>
      </c>
      <c r="F1621" t="inlineStr">
        <is>
          <t>MANAUS</t>
        </is>
      </c>
      <c r="G1621" t="inlineStr">
        <is>
          <t>ACRITICA.COM*</t>
        </is>
      </c>
      <c r="H1621" t="inlineStr">
        <is>
          <t>EX-CANDIDATA A MISS AMAZONAS ESFAQUEADA NO CARNAVAL RECEBE ALTA E SE RECUPERA EM CASA</t>
        </is>
      </c>
      <c r="I1621" t="inlineStr">
        <is>
          <t>APÓS FICAR MAIS DE 15 DIAS HOSPITALIZADA EM ESTADO GRAVE, A MODELO MABEL CRISTINA VENCEU A LUTA PELA VIDA. ELA PERDEU DEZ QUILOS E RELATOU EM ENTREVISTA NÃO TER SENTIDO MEDO</t>
        </is>
      </c>
      <c r="J1621">
        <f>HYPERLINK("https://www.acritica.com/manaus/ex-candidata-a-miss-amazonas-esfaqueada-no-carnaval-recebe-alta-e-se-recupera-em-casa-1.72923", "URL")</f>
        <v/>
      </c>
      <c r="K1621">
        <f>HYPERLINK("https://raw.githubusercontent.com/marcosmapl/dataset_imigrantes/main/noticias_filtered/a_critica/venezuelanos/2019/02_mar/html/1.72923_293.html", "HTML")</f>
        <v/>
      </c>
      <c r="L1621">
        <f>HYPERLINK("https://raw.githubusercontent.com/marcosmapl/dataset_imigrantes/main/noticias_filtered/a_critica/venezuelanos/2019/02_mar/txt/1.72923_293.txt", "TXT")</f>
        <v/>
      </c>
    </row>
    <row r="1622">
      <c r="A1622" s="1" t="n">
        <v>1620</v>
      </c>
      <c r="B1622" t="n">
        <v>2019</v>
      </c>
      <c r="C1622" s="2" t="n">
        <v>43542.86863604167</v>
      </c>
      <c r="D1622" t="inlineStr">
        <is>
          <t>G1</t>
        </is>
      </c>
      <c r="E1622" t="inlineStr">
        <is>
          <t>HAITIANOS</t>
        </is>
      </c>
      <c r="F1622" t="inlineStr">
        <is>
          <t>MUNDO</t>
        </is>
      </c>
      <c r="G1622" t="inlineStr">
        <is>
          <t>FRANCE PRESSE</t>
        </is>
      </c>
      <c r="H1622" t="inlineStr">
        <is>
          <t>EM MEIO A CRISE NO PAÍS, DEPUTADOS DO HAITI VOTAM PELA SAÍDA DO PRIMEIRO-MINISTRO</t>
        </is>
      </c>
      <c r="I1622" t="inlineStr">
        <is>
          <t>PREMIÊ NÃO RESISTIU A VOTAÇÃO DE DESCONFIANÇA NA CÂMARA DOS DEPUTADOS, MAS PODE SER SALVO PELO SENADO. DEPUTADOS CONSIDERARAM INSUFICIENTES AS MEDIDAS TOMADAS PELO GOVERNO PARA CONTER PROTESTOS NO PAÍS.</t>
        </is>
      </c>
      <c r="J1622">
        <f>HYPERLINK("https://g1.globo.com/mundo/noticia/2019/03/18/em-meio-a-crise-no-pais-deputados-do-haiti-votam-pela-saida-do-primeiro-ministro.ghtml", "URL")</f>
        <v/>
      </c>
      <c r="K1622">
        <f>HYPERLINK("https://raw.githubusercontent.com/marcosmapl/dataset_imigrantes/main/noticias_filtered/g1/haitianos/2019/02_mar/html/g1_70987562-230d-11ed-b24f-6dbe51e79fca_2687.html", "HTML")</f>
        <v/>
      </c>
      <c r="L1622">
        <f>HYPERLINK("https://raw.githubusercontent.com/marcosmapl/dataset_imigrantes/main/noticias_filtered/g1/haitianos/2019/02_mar/txt/g1_70987562-230d-11ed-b24f-6dbe51e79fca_2687.txt", "TXT")</f>
        <v/>
      </c>
    </row>
    <row r="1623">
      <c r="A1623" s="1" t="n">
        <v>1621</v>
      </c>
      <c r="B1623" t="n">
        <v>2019</v>
      </c>
      <c r="C1623" s="2" t="n">
        <v>43542.55758101852</v>
      </c>
      <c r="D1623" t="inlineStr">
        <is>
          <t>A CRITICA</t>
        </is>
      </c>
      <c r="E1623" t="inlineStr">
        <is>
          <t>VENEZUELANOS</t>
        </is>
      </c>
      <c r="F1623" t="inlineStr"/>
      <c r="G1623" t="inlineStr">
        <is>
          <t>AGÊNCIA BRASIL*</t>
        </is>
      </c>
      <c r="H1623" t="inlineStr">
        <is>
          <t>NICOLÁS MADURO PEDE RENÚNCIA DE MINISTROS, APÓS APAGÃO NA VENEZUELA</t>
        </is>
      </c>
      <c r="I1623" t="inlineStr">
        <is>
          <t>HÁ DOIS DIAS, O PRESIDENTE VENEZUELANO ANUNCIOU A INTENÇÃO DE MUDANÇAS PARA “OTIMIZAR A GESTÃO DO GOVERNO E PROTEGER O PAÍS CONTRA NOVAS AMEAÇAS”</t>
        </is>
      </c>
      <c r="J1623">
        <f>HYPERLINK("https://www.acritica.com/nicolas-maduro-pede-renuncia-de-ministros-apos-apag-o-na-venezuela-1.72941", "URL")</f>
        <v/>
      </c>
      <c r="K1623">
        <f>HYPERLINK("https://raw.githubusercontent.com/marcosmapl/dataset_imigrantes/main/noticias_filtered/a_critica/venezuelanos/2019/02_mar/html/1.72941_1327.html", "HTML")</f>
        <v/>
      </c>
      <c r="L1623">
        <f>HYPERLINK("https://raw.githubusercontent.com/marcosmapl/dataset_imigrantes/main/noticias_filtered/a_critica/venezuelanos/2019/02_mar/txt/1.72941_1327.txt", "TXT")</f>
        <v/>
      </c>
    </row>
    <row r="1624">
      <c r="A1624" s="1" t="n">
        <v>1622</v>
      </c>
      <c r="B1624" t="n">
        <v>2019</v>
      </c>
      <c r="C1624" s="2" t="n">
        <v>43540.97002819445</v>
      </c>
      <c r="D1624" t="inlineStr">
        <is>
          <t>G1</t>
        </is>
      </c>
      <c r="E1624" t="inlineStr">
        <is>
          <t>VENEZUELANOS</t>
        </is>
      </c>
      <c r="F1624" t="inlineStr">
        <is>
          <t>GOIÁS</t>
        </is>
      </c>
      <c r="G1624" t="inlineStr">
        <is>
          <t>RAQUEL MORAIS, G1 GO</t>
        </is>
      </c>
      <c r="H1624" t="inlineStr">
        <is>
          <t>FAMÍLIA VENEZUELANA PRECISA DE AJUDA PARA CONSEGUIR EMPREGO E LOCAL ONDE MORAR, EM GOIÂNIA</t>
        </is>
      </c>
      <c r="I1624" t="inlineStr">
        <is>
          <t>CASAL DE PROFESSORES PAGOU UMA DIÁRIA DE HOTEL APÓS VER HOMEM, ESPOSA E FILHA DE 4 ANOS SE PREPARANDO PARA DORMIR NA PRAÇA DO TRABALHADOR.</t>
        </is>
      </c>
      <c r="J1624">
        <f>HYPERLINK("https://g1.globo.com/go/goias/noticia/2019/03/16/familia-venezuelana-precisa-de-ajuda-para-conseguir-emprego-e-onde-morar-em-goiania.ghtml", "URL")</f>
        <v/>
      </c>
      <c r="K1624">
        <f>HYPERLINK("https://raw.githubusercontent.com/marcosmapl/dataset_imigrantes/main/noticias_filtered/g1/venezuelanos/2019/02_mar/html/g1_924a78c2-2308-11ed-b24f-6dbe51e79fca_2392.html", "HTML")</f>
        <v/>
      </c>
      <c r="L1624">
        <f>HYPERLINK("https://raw.githubusercontent.com/marcosmapl/dataset_imigrantes/main/noticias_filtered/g1/venezuelanos/2019/02_mar/txt/g1_924a78c2-2308-11ed-b24f-6dbe51e79fca_2392.txt", "TXT")</f>
        <v/>
      </c>
    </row>
    <row r="1625">
      <c r="A1625" s="1" t="n">
        <v>1623</v>
      </c>
      <c r="B1625" t="n">
        <v>2019</v>
      </c>
      <c r="C1625" s="2" t="n">
        <v>43539.51230324074</v>
      </c>
      <c r="D1625" t="inlineStr">
        <is>
          <t>A CRITICA</t>
        </is>
      </c>
      <c r="E1625" t="inlineStr">
        <is>
          <t>VENEZUELANOS</t>
        </is>
      </c>
      <c r="F1625" t="inlineStr"/>
      <c r="G1625" t="inlineStr">
        <is>
          <t>AGÊNCIA BRASIL*</t>
        </is>
      </c>
      <c r="H1625" t="inlineStr">
        <is>
          <t>VENEZUELA ANUNCIA RESTABELECIMENTO TOTAL DO SERVIÇO ELÉTRICO APÓS APAGÃO DE SETE DIAS</t>
        </is>
      </c>
      <c r="I1625" t="inlineStr">
        <is>
          <t>O GOVERNO NICOLÁS MADURO ANUNCIOU TAMBÉM A RETOMADA DAS ATIVIDADES PROFISSIONAIS QUE ESTAVAM SUSPENSAS DESDE SEXTA PASSADA (8)</t>
        </is>
      </c>
      <c r="J1625">
        <f>HYPERLINK("https://www.acritica.com/venezuela-anuncia-restabelecimento-total-do-servico-eletrico-apos-apag-o-de-sete-dias-1.73089", "URL")</f>
        <v/>
      </c>
      <c r="K1625">
        <f>HYPERLINK("https://raw.githubusercontent.com/marcosmapl/dataset_imigrantes/main/noticias_filtered/a_critica/venezuelanos/2019/02_mar/html/1.73089_1172.html", "HTML")</f>
        <v/>
      </c>
      <c r="L1625">
        <f>HYPERLINK("https://raw.githubusercontent.com/marcosmapl/dataset_imigrantes/main/noticias_filtered/a_critica/venezuelanos/2019/02_mar/txt/1.73089_1172.txt", "TXT")</f>
        <v/>
      </c>
    </row>
    <row r="1626">
      <c r="A1626" s="1" t="n">
        <v>1624</v>
      </c>
      <c r="B1626" t="n">
        <v>2019</v>
      </c>
      <c r="C1626" s="2" t="n">
        <v>43538.43002653935</v>
      </c>
      <c r="D1626" t="inlineStr">
        <is>
          <t>G1</t>
        </is>
      </c>
      <c r="E1626" t="inlineStr">
        <is>
          <t>VENEZUELANOS</t>
        </is>
      </c>
      <c r="F1626" t="inlineStr">
        <is>
          <t>RIO GRANDE DO SUL</t>
        </is>
      </c>
      <c r="G1626" t="inlineStr">
        <is>
          <t>MATHEUS FELIPE, RBS TV E G1 RS</t>
        </is>
      </c>
      <c r="H1626" t="inlineStr">
        <is>
          <t>MAIS UM GRUPO DE IMIGRANTES VENEZUELANOS CHEGA A PORTO ALEGRE</t>
        </is>
      </c>
      <c r="I1626" t="inlineStr">
        <is>
          <t>ELES FICARÃO NA ALDEIA SOS CRIANÇAS, QUE ACOLHE FAMÍLIA COM MENORES, EM UMA DAS CINCO CASAS DESTINADAS AO PROGRAMA BRASIL SEM FRONTEIRAS, EM PORTO ALEGRE.</t>
        </is>
      </c>
      <c r="J1626">
        <f>HYPERLINK("https://g1.globo.com/rs/rio-grande-do-sul/noticia/2019/03/14/mais-um-grupo-de-imigrantes-venezuelanos-chega-em-porto-alegre.ghtml", "URL")</f>
        <v/>
      </c>
      <c r="K1626">
        <f>HYPERLINK("https://raw.githubusercontent.com/marcosmapl/dataset_imigrantes/main/noticias_filtered/g1/venezuelanos/2019/02_mar/html/g1_488eaa60-2307-11ed-b24f-6dbe51e79fca_2308.html", "HTML")</f>
        <v/>
      </c>
      <c r="L1626">
        <f>HYPERLINK("https://raw.githubusercontent.com/marcosmapl/dataset_imigrantes/main/noticias_filtered/g1/venezuelanos/2019/02_mar/txt/g1_488eaa60-2307-11ed-b24f-6dbe51e79fca_2308.txt", "TXT")</f>
        <v/>
      </c>
    </row>
    <row r="1627">
      <c r="A1627" s="1" t="n">
        <v>1625</v>
      </c>
      <c r="B1627" t="n">
        <v>2019</v>
      </c>
      <c r="C1627" s="2" t="n">
        <v>43536.88333333333</v>
      </c>
      <c r="D1627" t="inlineStr">
        <is>
          <t>PORTAL AMAZONIA</t>
        </is>
      </c>
      <c r="E1627" t="inlineStr">
        <is>
          <t>VENEZUELANOS</t>
        </is>
      </c>
      <c r="F1627" t="inlineStr">
        <is>
          <t>CIDADES</t>
        </is>
      </c>
      <c r="G1627" t="inlineStr">
        <is>
          <t>REDAÇÃO</t>
        </is>
      </c>
      <c r="H1627" t="inlineStr">
        <is>
          <t>MAIS DE 200 VENEZUELANOS DEIXAM BOA VISTA RUMO A 14 CIDADES, NESTA QUARTA</t>
        </is>
      </c>
      <c r="I1627" t="inlineStr">
        <is>
          <t>MAIS 234 DE REFUGIADOS E MIGRANTES VENEZUELANOS DEIXARÃO BOA VISTA COM DESTINO A 14 CIDADES BRASILEIRAS AMANHÃ (13), ÀS 8H, HORÁRIO LOCAL. A PRIMEIRA PARADA DA AERONAVE DA FORÇA AÉREA BRASILEIRA (FAB) SERÁ NO RECIFE, ONDE DESEMBARCARÃO 63 PESSOAS. DE</t>
        </is>
      </c>
      <c r="J1627">
        <f>HYPERLINK("https://portalamazonia.com/noticias/cidades/mais-de-200-venezuelanos-deixam-boa-vista-rumo-a-14-cidades-nesta-quarta", "URL")</f>
        <v/>
      </c>
      <c r="K1627">
        <f>HYPERLINK("https://raw.githubusercontent.com/marcosmapl/dataset_imigrantes/main/noticias_filtered/portal_amazonia/venezuelanos/2019/02_mar/html/17307.17307_1426.html", "HTML")</f>
        <v/>
      </c>
      <c r="L1627">
        <f>HYPERLINK("https://raw.githubusercontent.com/marcosmapl/dataset_imigrantes/main/noticias_filtered/portal_amazonia/venezuelanos/2019/02_mar/txt/17307.17307_1426.txt", "TXT")</f>
        <v/>
      </c>
    </row>
    <row r="1628">
      <c r="A1628" s="1" t="n">
        <v>1626</v>
      </c>
      <c r="B1628" t="n">
        <v>2019</v>
      </c>
      <c r="C1628" s="2" t="n">
        <v>43536.81657407407</v>
      </c>
      <c r="D1628" t="inlineStr">
        <is>
          <t>A CRITICA</t>
        </is>
      </c>
      <c r="E1628" t="inlineStr">
        <is>
          <t>VENEZUELANOS</t>
        </is>
      </c>
      <c r="F1628" t="inlineStr">
        <is>
          <t>ESPORTES</t>
        </is>
      </c>
      <c r="G1628" t="inlineStr">
        <is>
          <t>CAMILA LEONEL</t>
        </is>
      </c>
      <c r="H1628" t="inlineStr">
        <is>
          <t>ATACANTE KARLA TORRES REFORÇARÁ O IRANDUBA NO BRASILEIRO FEMININO</t>
        </is>
      </c>
      <c r="I1628" t="inlineStr">
        <is>
          <t>A JOGADORA VENEZUELANA DEVE CHEGAR NO DIA 19 EM MANAUS PARA DISPUTAR O BRASILEIRÃO. ANO PASSADO ELA JOGOU A LIBERTADORES PELO COLO-COLO</t>
        </is>
      </c>
      <c r="J1628">
        <f>HYPERLINK("https://www.acritica.com/esportes/atacante-karla-torres-reforcara-o-iranduba-no-brasileiro-feminino-1.73270", "URL")</f>
        <v/>
      </c>
      <c r="K1628">
        <f>HYPERLINK("https://raw.githubusercontent.com/marcosmapl/dataset_imigrantes/main/noticias_filtered/a_critica/venezuelanos/2019/02_mar/html/1.73270_598.html", "HTML")</f>
        <v/>
      </c>
      <c r="L1628">
        <f>HYPERLINK("https://raw.githubusercontent.com/marcosmapl/dataset_imigrantes/main/noticias_filtered/a_critica/venezuelanos/2019/02_mar/txt/1.73270_598.txt", "TXT")</f>
        <v/>
      </c>
    </row>
    <row r="1629">
      <c r="A1629" s="1" t="n">
        <v>1627</v>
      </c>
      <c r="B1629" t="n">
        <v>2019</v>
      </c>
      <c r="C1629" s="2" t="n">
        <v>43536.54138974537</v>
      </c>
      <c r="D1629" t="inlineStr">
        <is>
          <t>G1</t>
        </is>
      </c>
      <c r="E1629" t="inlineStr">
        <is>
          <t>VENEZUELANOS</t>
        </is>
      </c>
      <c r="F1629" t="inlineStr">
        <is>
          <t>MUNDO</t>
        </is>
      </c>
      <c r="G1629" t="inlineStr">
        <is>
          <t>G1</t>
        </is>
      </c>
      <c r="H1629" t="inlineStr">
        <is>
          <t>SERVIÇO DE INTELIGÊNCIA DA VENEZUELA DETÉM JORNALISTA VENEZUELANO-ESPANHOL, DIZ SINDICATO</t>
        </is>
      </c>
      <c r="I1629" t="inlineStr">
        <is>
          <t>SINDICATO AFIRMOU QUE SERVIÇO DE INTELIGÊNCIA FEZ BUSCA E APREENDEU OBJETOS NA RESIDÊNCIA DO JORNALISTA LUIS CARLOS DÍAZ.</t>
        </is>
      </c>
      <c r="J1629">
        <f>HYPERLINK("https://g1.globo.com/mundo/noticia/2019/03/12/servico-de-inteligencia-da-venezuela-detem-jornalista-venezuelano-espanhol-diz-sindicato.ghtml", "URL")</f>
        <v/>
      </c>
      <c r="K1629">
        <f>HYPERLINK("https://raw.githubusercontent.com/marcosmapl/dataset_imigrantes/main/noticias_filtered/g1/venezuelanos/2019/02_mar/html/g1_2ad265f6-2326-11ed-b24f-6dbe51e79fca_3959.html", "HTML")</f>
        <v/>
      </c>
      <c r="L1629">
        <f>HYPERLINK("https://raw.githubusercontent.com/marcosmapl/dataset_imigrantes/main/noticias_filtered/g1/venezuelanos/2019/02_mar/txt/g1_2ad265f6-2326-11ed-b24f-6dbe51e79fca_3959.txt", "TXT")</f>
        <v/>
      </c>
    </row>
    <row r="1630">
      <c r="A1630" s="1" t="n">
        <v>1628</v>
      </c>
      <c r="B1630" t="n">
        <v>2019</v>
      </c>
      <c r="C1630" s="2" t="n">
        <v>43535.92089120371</v>
      </c>
      <c r="D1630" t="inlineStr">
        <is>
          <t>A CRITICA</t>
        </is>
      </c>
      <c r="E1630" t="inlineStr">
        <is>
          <t>VENEZUELANOS</t>
        </is>
      </c>
      <c r="F1630" t="inlineStr"/>
      <c r="G1630" t="inlineStr">
        <is>
          <t>AGÊNCIA BRASIL</t>
        </is>
      </c>
      <c r="H1630" t="inlineStr">
        <is>
          <t>JUAN GUAIDÓ MARCA MANIFESTAÇÃO EM PROTESTO AOS APAGÕES QUE ATINGEM A VENEZUELA</t>
        </is>
      </c>
      <c r="I1630" t="inlineStr">
        <is>
          <t>EM DISCURSO NA ASSEMBLEIA NACIONAL, ELE DEFENDEU A UNIÃO DE FORÇAS EM BUSCA DA CONSOLIDAÇÃO DOS “DIREITOS”</t>
        </is>
      </c>
      <c r="J1630">
        <f>HYPERLINK("https://www.acritica.com/juan-guaido-marca-manifestac-o-em-protesto-aos-apag-es-que-atingem-a-venezuela-1.73349", "URL")</f>
        <v/>
      </c>
      <c r="K1630">
        <f>HYPERLINK("https://raw.githubusercontent.com/marcosmapl/dataset_imigrantes/main/noticias_filtered/a_critica/venezuelanos/2019/02_mar/html/1.73349_799.html", "HTML")</f>
        <v/>
      </c>
      <c r="L1630">
        <f>HYPERLINK("https://raw.githubusercontent.com/marcosmapl/dataset_imigrantes/main/noticias_filtered/a_critica/venezuelanos/2019/02_mar/txt/1.73349_799.txt", "TXT")</f>
        <v/>
      </c>
    </row>
    <row r="1631">
      <c r="A1631" s="1" t="n">
        <v>1629</v>
      </c>
      <c r="B1631" t="n">
        <v>2019</v>
      </c>
      <c r="C1631" s="2" t="n">
        <v>43535.48094907407</v>
      </c>
      <c r="D1631" t="inlineStr">
        <is>
          <t>A CRITICA</t>
        </is>
      </c>
      <c r="E1631" t="inlineStr">
        <is>
          <t>VENEZUELANOS</t>
        </is>
      </c>
      <c r="F1631" t="inlineStr"/>
      <c r="G1631" t="inlineStr"/>
      <c r="H1631" t="inlineStr">
        <is>
          <t>ALTERNATIVA PARA ENERGIA EM RORAIMA</t>
        </is>
      </c>
      <c r="I1631" t="inlineStr"/>
      <c r="J1631">
        <f>HYPERLINK("https://www.acritica.com/alternativa-para-energia-em-roraima-1.223741", "URL")</f>
        <v/>
      </c>
      <c r="K1631">
        <f>HYPERLINK("https://raw.githubusercontent.com/marcosmapl/dataset_imigrantes/main/noticias_filtered/a_critica/venezuelanos/2019/02_mar/html/1.223741_804.html", "HTML")</f>
        <v/>
      </c>
      <c r="L1631">
        <f>HYPERLINK("https://raw.githubusercontent.com/marcosmapl/dataset_imigrantes/main/noticias_filtered/a_critica/venezuelanos/2019/02_mar/txt/1.223741_804.txt", "TXT")</f>
        <v/>
      </c>
    </row>
    <row r="1632">
      <c r="A1632" s="1" t="n">
        <v>1630</v>
      </c>
      <c r="B1632" t="n">
        <v>2019</v>
      </c>
      <c r="C1632" s="2" t="n">
        <v>43534.93145833333</v>
      </c>
      <c r="D1632" t="inlineStr">
        <is>
          <t>A CRITICA</t>
        </is>
      </c>
      <c r="E1632" t="inlineStr">
        <is>
          <t>VENEZUELANOS</t>
        </is>
      </c>
      <c r="F1632" t="inlineStr"/>
      <c r="G1632" t="inlineStr">
        <is>
          <t>AGÊNCIA BRASIL</t>
        </is>
      </c>
      <c r="H1632" t="inlineStr">
        <is>
          <t>GUAIDÓ PEDIRÁ QUE PARLAMENTO DECLARE ESTADO DE EMERGÊNCIA NA VENEZUELA</t>
        </is>
      </c>
      <c r="I1632" t="inlineStr">
        <is>
          <t>O PAÍS ENFRENTA UM APAGÃO QUE JÁ PROVOCOU 15 MORTES</t>
        </is>
      </c>
      <c r="J1632">
        <f>HYPERLINK("https://www.acritica.com/guaido-pedira-que-parlamento-declare-estado-de-emergencia-na-venezuela-1.72359", "URL")</f>
        <v/>
      </c>
      <c r="K1632">
        <f>HYPERLINK("https://raw.githubusercontent.com/marcosmapl/dataset_imigrantes/main/noticias_filtered/a_critica/venezuelanos/2019/02_mar/html/1.72359_998.html", "HTML")</f>
        <v/>
      </c>
      <c r="L1632">
        <f>HYPERLINK("https://raw.githubusercontent.com/marcosmapl/dataset_imigrantes/main/noticias_filtered/a_critica/venezuelanos/2019/02_mar/txt/1.72359_998.txt", "TXT")</f>
        <v/>
      </c>
    </row>
    <row r="1633">
      <c r="A1633" s="1" t="n">
        <v>1631</v>
      </c>
      <c r="B1633" t="n">
        <v>2019</v>
      </c>
      <c r="C1633" s="2" t="n">
        <v>43534.64011574074</v>
      </c>
      <c r="D1633" t="inlineStr">
        <is>
          <t>A CRITICA</t>
        </is>
      </c>
      <c r="E1633" t="inlineStr">
        <is>
          <t>VENEZUELANOS</t>
        </is>
      </c>
      <c r="F1633" t="inlineStr"/>
      <c r="G1633" t="inlineStr">
        <is>
          <t>AGÊNCIA BRASIL</t>
        </is>
      </c>
      <c r="H1633" t="inlineStr">
        <is>
          <t>GUAIDÓ CONVOCA ATOS CONTRA NICOLÁS MADURO PELAS REDES SOCIAIS</t>
        </is>
      </c>
      <c r="I1633" t="inlineStr">
        <is>
          <t>O APELOU OCORREU NO MOMENTO DE UM APAGÃO QUE ATINGIU CARACAS E 22 DOS 23 ESTADOS VENEZUELANOS</t>
        </is>
      </c>
      <c r="J1633">
        <f>HYPERLINK("https://www.acritica.com/guaido-convoca-atos-contra-nicolas-maduro-pelas-redes-sociais-1.73419", "URL")</f>
        <v/>
      </c>
      <c r="K1633">
        <f>HYPERLINK("https://raw.githubusercontent.com/marcosmapl/dataset_imigrantes/main/noticias_filtered/a_critica/venezuelanos/2019/02_mar/html/1.73419_461.html", "HTML")</f>
        <v/>
      </c>
      <c r="L1633">
        <f>HYPERLINK("https://raw.githubusercontent.com/marcosmapl/dataset_imigrantes/main/noticias_filtered/a_critica/venezuelanos/2019/02_mar/txt/1.73419_461.txt", "TXT")</f>
        <v/>
      </c>
    </row>
    <row r="1634">
      <c r="A1634" s="1" t="n">
        <v>1632</v>
      </c>
      <c r="B1634" t="n">
        <v>2019</v>
      </c>
      <c r="C1634" s="2" t="n">
        <v>43534.60583333333</v>
      </c>
      <c r="D1634" t="inlineStr">
        <is>
          <t>A CRITICA</t>
        </is>
      </c>
      <c r="E1634" t="inlineStr">
        <is>
          <t>VENEZUELANOS</t>
        </is>
      </c>
      <c r="F1634" t="inlineStr"/>
      <c r="G1634" t="inlineStr">
        <is>
          <t>AGÊNCIA BRASIL</t>
        </is>
      </c>
      <c r="H1634" t="inlineStr">
        <is>
          <t>PELO MENOS 15 PESSOAS MORRERAM DEVIDO AO APAGÃO NA VENEZUELA, DIZ ONG</t>
        </is>
      </c>
      <c r="I1634" t="inlineStr">
        <is>
          <t>VÍTIMAS TINHAM PROBLEMAS RENAIS E FICARAM SEM DIÁLISE. O APAGÃO QUE ATINGIU O PAÍS AFETOU O FUNCIONAMENTO DOS APARELHOS</t>
        </is>
      </c>
      <c r="J1634">
        <f>HYPERLINK("https://www.acritica.com/pelo-menos-15-pessoas-morreram-devido-ao-apag-o-na-venezuela-diz-ong-1.73430", "URL")</f>
        <v/>
      </c>
      <c r="K1634">
        <f>HYPERLINK("https://raw.githubusercontent.com/marcosmapl/dataset_imigrantes/main/noticias_filtered/a_critica/venezuelanos/2019/02_mar/html/1.73430_791.html", "HTML")</f>
        <v/>
      </c>
      <c r="L1634">
        <f>HYPERLINK("https://raw.githubusercontent.com/marcosmapl/dataset_imigrantes/main/noticias_filtered/a_critica/venezuelanos/2019/02_mar/txt/1.73430_791.txt", "TXT")</f>
        <v/>
      </c>
    </row>
    <row r="1635">
      <c r="A1635" s="1" t="n">
        <v>1633</v>
      </c>
      <c r="B1635" t="n">
        <v>2019</v>
      </c>
      <c r="C1635" s="2" t="n">
        <v>43533.85696759259</v>
      </c>
      <c r="D1635" t="inlineStr">
        <is>
          <t>A CRITICA</t>
        </is>
      </c>
      <c r="E1635" t="inlineStr">
        <is>
          <t>VENEZUELANOS</t>
        </is>
      </c>
      <c r="F1635" t="inlineStr"/>
      <c r="G1635" t="inlineStr">
        <is>
          <t>DEUTSCHE WELLE</t>
        </is>
      </c>
      <c r="H1635" t="inlineStr">
        <is>
          <t>NICOLÁS MADURO REPRIME PROTESTO DA OPOSIÇÃO EM CARACAS, NA VENEZUELA</t>
        </is>
      </c>
      <c r="I1635" t="inlineStr">
        <is>
          <t>MANIFESTANTES RECUARAM, MAS OPTARAM POR PERMANECER NAS IMEDIAÇÕES DO LOCAL MARCADO PARA A REALIZAÇÃO DA CONCENTRAÇÃO</t>
        </is>
      </c>
      <c r="J1635">
        <f>HYPERLINK("https://www.acritica.com/nicolas-maduro-reprime-protesto-da-oposic-o-em-caracas-na-venezuela-1.73458", "URL")</f>
        <v/>
      </c>
      <c r="K1635">
        <f>HYPERLINK("https://raw.githubusercontent.com/marcosmapl/dataset_imigrantes/main/noticias_filtered/a_critica/venezuelanos/2019/02_mar/html/1.73458_770.html", "HTML")</f>
        <v/>
      </c>
      <c r="L1635">
        <f>HYPERLINK("https://raw.githubusercontent.com/marcosmapl/dataset_imigrantes/main/noticias_filtered/a_critica/venezuelanos/2019/02_mar/txt/1.73458_770.txt", "TXT")</f>
        <v/>
      </c>
    </row>
    <row r="1636">
      <c r="A1636" s="1" t="n">
        <v>1634</v>
      </c>
      <c r="B1636" t="n">
        <v>2019</v>
      </c>
      <c r="C1636" s="2" t="n">
        <v>43533.790625</v>
      </c>
      <c r="D1636" t="inlineStr">
        <is>
          <t>A CRITICA</t>
        </is>
      </c>
      <c r="E1636" t="inlineStr">
        <is>
          <t>VENEZUELANOS</t>
        </is>
      </c>
      <c r="F1636" t="inlineStr">
        <is>
          <t>MANAUS</t>
        </is>
      </c>
      <c r="G1636" t="inlineStr">
        <is>
          <t>SUELEN GONÇALVES</t>
        </is>
      </c>
      <c r="H1636" t="inlineStr">
        <is>
          <t>LIDERANÇAS DE ESQUERDA DO AM FAZEM ATO PEDINDO PAZ ENTRE BRASIL E VENEZUELA</t>
        </is>
      </c>
      <c r="I1636" t="inlineStr">
        <is>
          <t>MOVIMENTOS SOCIAIS, ESTUDANTIS E ENTIDADES SE REUNIRAM EM EVENTO NA MANHÃ DESTE SÁBADO (9). ATO CONTOU COM PARLAMENTARES DO AMAZONAS</t>
        </is>
      </c>
      <c r="J1636">
        <f>HYPERLINK("https://www.acritica.com/manaus/liderancas-de-esquerda-do-am-fazem-ato-pedindo-paz-entre-brasil-e-venezuela-1.73464", "URL")</f>
        <v/>
      </c>
      <c r="K1636">
        <f>HYPERLINK("https://raw.githubusercontent.com/marcosmapl/dataset_imigrantes/main/noticias_filtered/a_critica/venezuelanos/2019/02_mar/html/1.73464_619.html", "HTML")</f>
        <v/>
      </c>
      <c r="L1636">
        <f>HYPERLINK("https://raw.githubusercontent.com/marcosmapl/dataset_imigrantes/main/noticias_filtered/a_critica/venezuelanos/2019/02_mar/txt/1.73464_619.txt", "TXT")</f>
        <v/>
      </c>
    </row>
    <row r="1637">
      <c r="A1637" s="1" t="n">
        <v>1635</v>
      </c>
      <c r="B1637" t="n">
        <v>2019</v>
      </c>
      <c r="C1637" s="2" t="n">
        <v>43533.67434027778</v>
      </c>
      <c r="D1637" t="inlineStr">
        <is>
          <t>A CRITICA</t>
        </is>
      </c>
      <c r="E1637" t="inlineStr">
        <is>
          <t>VENEZUELANOS</t>
        </is>
      </c>
      <c r="F1637" t="inlineStr"/>
      <c r="G1637" t="inlineStr">
        <is>
          <t>AGÊNCIA BRASIL</t>
        </is>
      </c>
      <c r="H1637" t="inlineStr">
        <is>
          <t>NÚMERO DE REFUGIADOS VENEZUELANOS DEVE SUPERAR 5 MILHÕES ATÉ 2020, DIZ OEA</t>
        </is>
      </c>
      <c r="I1637" t="inlineStr">
        <is>
          <t>SEGUNDO A ORGANIZAÇÃO DOS ESTADOS AMERICANOS, TRATA-SE DA SEGUNDA MAIOR CRISE DE IMIGRANTES E REFUGIADOS NO MUNDO, DEPOIS DA QUE ENVOLVEU OS SÍRIOS</t>
        </is>
      </c>
      <c r="J1637">
        <f>HYPERLINK("https://www.acritica.com/numero-de-refugiados-venezuelanos-deve-superar-5-milh-es-ate-2020-diz-oea-1.73470", "URL")</f>
        <v/>
      </c>
      <c r="K1637">
        <f>HYPERLINK("https://raw.githubusercontent.com/marcosmapl/dataset_imigrantes/main/noticias_filtered/a_critica/venezuelanos/2019/02_mar/html/1.73470_988.html", "HTML")</f>
        <v/>
      </c>
      <c r="L1637">
        <f>HYPERLINK("https://raw.githubusercontent.com/marcosmapl/dataset_imigrantes/main/noticias_filtered/a_critica/venezuelanos/2019/02_mar/txt/1.73470_988.txt", "TXT")</f>
        <v/>
      </c>
    </row>
    <row r="1638">
      <c r="A1638" s="1" t="n">
        <v>1636</v>
      </c>
      <c r="B1638" t="n">
        <v>2019</v>
      </c>
      <c r="C1638" s="2" t="n">
        <v>43533.63392361111</v>
      </c>
      <c r="D1638" t="inlineStr">
        <is>
          <t>A CRITICA</t>
        </is>
      </c>
      <c r="E1638" t="inlineStr">
        <is>
          <t>VENEZUELANOS</t>
        </is>
      </c>
      <c r="F1638" t="inlineStr"/>
      <c r="G1638" t="inlineStr">
        <is>
          <t>YARA AQUINO (AGÊNCIA BRASIL)</t>
        </is>
      </c>
      <c r="H1638" t="inlineStr">
        <is>
          <t>USINAS TERMELÉTRICAS SÃO ACIONADAS PARA GARANTIR ENERGIA EM RORAIMA</t>
        </is>
      </c>
      <c r="I1638" t="inlineStr">
        <is>
          <t>MEDIDA FOI TOMADA APÓS VENEZUELA INTERROMPER FORNECIMENTO AO ESTADO. INTERRUPÇÃO COMEÇOU ONTEM (7) APÓS NOTÍCIAS DE APAGÃO NO PAÍS VIZINHO</t>
        </is>
      </c>
      <c r="J1638">
        <f>HYPERLINK("https://www.acritica.com/usinas-termeletricas-s-o-acionadas-para-garantir-energia-em-roraima-1.73478", "URL")</f>
        <v/>
      </c>
      <c r="K1638">
        <f>HYPERLINK("https://raw.githubusercontent.com/marcosmapl/dataset_imigrantes/main/noticias_filtered/a_critica/venezuelanos/2019/02_mar/html/1.73478_892.html", "HTML")</f>
        <v/>
      </c>
      <c r="L1638">
        <f>HYPERLINK("https://raw.githubusercontent.com/marcosmapl/dataset_imigrantes/main/noticias_filtered/a_critica/venezuelanos/2019/02_mar/txt/1.73478_892.txt", "TXT")</f>
        <v/>
      </c>
    </row>
    <row r="1639">
      <c r="A1639" s="1" t="n">
        <v>1637</v>
      </c>
      <c r="B1639" t="n">
        <v>2019</v>
      </c>
      <c r="C1639" s="2" t="n">
        <v>43533.54432870371</v>
      </c>
      <c r="D1639" t="inlineStr">
        <is>
          <t>A CRITICA</t>
        </is>
      </c>
      <c r="E1639" t="inlineStr">
        <is>
          <t>VENEZUELANOS</t>
        </is>
      </c>
      <c r="F1639" t="inlineStr"/>
      <c r="G1639" t="inlineStr">
        <is>
          <t>AGÊNCIA BRASIL*</t>
        </is>
      </c>
      <c r="H1639" t="inlineStr">
        <is>
          <t>BOLSONARO E TRUMP TÊM ENCONTRO NO PRÓXIMO DIA 19 DE MARÇO, DIZ CASA BRANCA</t>
        </is>
      </c>
      <c r="I1639" t="inlineStr">
        <is>
          <t>ENTRE OS TEMAS QUE PODERÃO SER DISCUTIDOS NO ENCONTRO, DESTACAM-SE A COOPERAÇÃO NA ÁREA DA DEFESA, POLÍTICAS COMERCIAIS, COMBATE AO CRIME TRANSNACIONAL E A CRISE NA VENEZUELA</t>
        </is>
      </c>
      <c r="J1639">
        <f>HYPERLINK("https://www.acritica.com/bolsonaro-e-trump-tem-encontro-no-proximo-dia-19-de-marco-diz-casa-branca-1.73486", "URL")</f>
        <v/>
      </c>
      <c r="K1639">
        <f>HYPERLINK("https://raw.githubusercontent.com/marcosmapl/dataset_imigrantes/main/noticias_filtered/a_critica/venezuelanos/2019/02_mar/html/1.73486_597.html", "HTML")</f>
        <v/>
      </c>
      <c r="L1639">
        <f>HYPERLINK("https://raw.githubusercontent.com/marcosmapl/dataset_imigrantes/main/noticias_filtered/a_critica/venezuelanos/2019/02_mar/txt/1.73486_597.txt", "TXT")</f>
        <v/>
      </c>
    </row>
    <row r="1640">
      <c r="A1640" s="1" t="n">
        <v>1638</v>
      </c>
      <c r="B1640" t="n">
        <v>2019</v>
      </c>
      <c r="C1640" s="2" t="n">
        <v>43533.16923210648</v>
      </c>
      <c r="D1640" t="inlineStr">
        <is>
          <t>G1</t>
        </is>
      </c>
      <c r="E1640" t="inlineStr">
        <is>
          <t>VENEZUELANOS</t>
        </is>
      </c>
      <c r="F1640" t="inlineStr">
        <is>
          <t>MUNDO</t>
        </is>
      </c>
      <c r="G1640" t="inlineStr">
        <is>
          <t>FRANCE PRESSE</t>
        </is>
      </c>
      <c r="H1640" t="inlineStr">
        <is>
          <t>OEA PREVÊ 5 MILHÕES DE IMIGRANTES VENEZUELANOS EM 2019</t>
        </is>
      </c>
      <c r="I1640" t="inlineStr">
        <is>
          <t>SEGUNDO RELATÓRIO, O FLUXO MIGRATÓRIO JÁ SE EQUIPARA AOS PROVOCADOS POR GUERRAS COMO A DA SÍRIA E DO AFEGANISTÃO.</t>
        </is>
      </c>
      <c r="J1640">
        <f>HYPERLINK("https://g1.globo.com/mundo/noticia/2019/03/09/oea-preve-5-milhoes-de-imigrantes-venezuelanos-em-2019.ghtml", "URL")</f>
        <v/>
      </c>
      <c r="K1640">
        <f>HYPERLINK("https://raw.githubusercontent.com/marcosmapl/dataset_imigrantes/main/noticias_filtered/g1/venezuelanos/2019/02_mar/html/g1_568d218e-2323-11ed-b24f-6dbe51e79fca_3801.html", "HTML")</f>
        <v/>
      </c>
      <c r="L1640">
        <f>HYPERLINK("https://raw.githubusercontent.com/marcosmapl/dataset_imigrantes/main/noticias_filtered/g1/venezuelanos/2019/02_mar/txt/g1_568d218e-2323-11ed-b24f-6dbe51e79fca_3801.txt", "TXT")</f>
        <v/>
      </c>
    </row>
    <row r="1641">
      <c r="A1641" s="1" t="n">
        <v>1639</v>
      </c>
      <c r="B1641" t="n">
        <v>2019</v>
      </c>
      <c r="C1641" s="2" t="n">
        <v>43532.84226502315</v>
      </c>
      <c r="D1641" t="inlineStr">
        <is>
          <t>G1</t>
        </is>
      </c>
      <c r="E1641" t="inlineStr">
        <is>
          <t>VENEZUELANOS</t>
        </is>
      </c>
      <c r="F1641" t="inlineStr">
        <is>
          <t>MUNDO</t>
        </is>
      </c>
      <c r="G1641" t="inlineStr">
        <is>
          <t>G1</t>
        </is>
      </c>
      <c r="H1641" t="inlineStr">
        <is>
          <t>MINISTRO VENEZUELANO É ACUSADO NOS ESTADOS UNIDOS DE AJUDAR CHEFÕES DO NARCOTRÁFICO</t>
        </is>
      </c>
      <c r="I1641" t="inlineStr">
        <is>
          <t>TARECK EL AISSAMI, ALIADO DE NICOLÁS MADURO, CONTRATOU AVIÕES PRIVADOS NORTE-AMERICANOS PARA REUNIÕES PARTICULARES NA TURQUIA E NA RÚSSIA.</t>
        </is>
      </c>
      <c r="J1641">
        <f>HYPERLINK("https://g1.globo.com/mundo/noticia/2019/03/08/ministro-venezuelano-e-acusado-de-narcotrafico-nos-estados-unidos.ghtml", "URL")</f>
        <v/>
      </c>
      <c r="K1641">
        <f>HYPERLINK("https://raw.githubusercontent.com/marcosmapl/dataset_imigrantes/main/noticias_filtered/g1/venezuelanos/2019/02_mar/html/g1_e19805a8-231b-11ed-b24f-6dbe51e79fca_3413.html", "HTML")</f>
        <v/>
      </c>
      <c r="L1641">
        <f>HYPERLINK("https://raw.githubusercontent.com/marcosmapl/dataset_imigrantes/main/noticias_filtered/g1/venezuelanos/2019/02_mar/txt/g1_e19805a8-231b-11ed-b24f-6dbe51e79fca_3413.txt", "TXT")</f>
        <v/>
      </c>
    </row>
    <row r="1642">
      <c r="A1642" s="1" t="n">
        <v>1640</v>
      </c>
      <c r="B1642" t="n">
        <v>2019</v>
      </c>
      <c r="C1642" s="2" t="n">
        <v>43532.79872685186</v>
      </c>
      <c r="D1642" t="inlineStr">
        <is>
          <t>A CRITICA</t>
        </is>
      </c>
      <c r="E1642" t="inlineStr">
        <is>
          <t>VENEZUELANOS</t>
        </is>
      </c>
      <c r="F1642" t="inlineStr">
        <is>
          <t>POLICIA</t>
        </is>
      </c>
      <c r="G1642" t="inlineStr">
        <is>
          <t>FÁBIO OLIVEIRA</t>
        </is>
      </c>
      <c r="H1642" t="inlineStr">
        <is>
          <t>EMPRESÁRIO É PRESO APÓS AGREDIR ESPOSA VENEZUELANA COM MOLHO DE CHAVES</t>
        </is>
      </c>
      <c r="I1642" t="inlineStr">
        <is>
          <t>AGRESSOR CONVIVIA COM A MULHER NO BAIRRO CIDADE NOVA MESMO COM UMA MEDIDA PROTETIVA CONTRA ELE. EM MENSAGENS A VÍTIMA, HOMEM DISSE QUE NÃO TERIA PENA DE MATÁ-LA</t>
        </is>
      </c>
      <c r="J1642">
        <f>HYPERLINK("https://www.acritica.com/policia/empresario-e-preso-apos-agredir-esposa-venezuelana-com-molho-de-chaves-1.73538", "URL")</f>
        <v/>
      </c>
      <c r="K1642">
        <f>HYPERLINK("https://raw.githubusercontent.com/marcosmapl/dataset_imigrantes/main/noticias_filtered/a_critica/venezuelanos/2019/02_mar/html/1.73538_560.html", "HTML")</f>
        <v/>
      </c>
      <c r="L1642">
        <f>HYPERLINK("https://raw.githubusercontent.com/marcosmapl/dataset_imigrantes/main/noticias_filtered/a_critica/venezuelanos/2019/02_mar/txt/1.73538_560.txt", "TXT")</f>
        <v/>
      </c>
    </row>
    <row r="1643">
      <c r="A1643" s="1" t="n">
        <v>1641</v>
      </c>
      <c r="B1643" t="n">
        <v>2019</v>
      </c>
      <c r="C1643" s="2" t="n">
        <v>43532.73950231481</v>
      </c>
      <c r="D1643" t="inlineStr">
        <is>
          <t>A CRITICA</t>
        </is>
      </c>
      <c r="E1643" t="inlineStr">
        <is>
          <t>VENEZUELANOS</t>
        </is>
      </c>
      <c r="F1643" t="inlineStr"/>
      <c r="G1643" t="inlineStr">
        <is>
          <t>ACRÍTICA.COM</t>
        </is>
      </c>
      <c r="H1643" t="inlineStr">
        <is>
          <t>EM QUATRO ANOS, ONU REGISTRA MAIS DE 400 MIL PEDIDOS DE REFÚGIO DE VENEZUELANOS</t>
        </is>
      </c>
      <c r="I1643" t="inlineStr">
        <is>
          <t>SOMENTE EM 2018, NÚMERO DE PEDIDOS SUBIU 60% E CHEGOU A 248 MIL NO MUNDO, INFORMOU A AGÊNCIA DA ONU PARA REFUGIADOS (ACNUR). DOIS TERÇOS FORAM FEITOS EM PAÍSES NA AMÉRICA LATINA</t>
        </is>
      </c>
      <c r="J1643">
        <f>HYPERLINK("https://www.acritica.com/em-quatro-anos-onu-registra-mais-de-400-mil-pedidos-de-refugio-de-venezuelanos-1.73434", "URL")</f>
        <v/>
      </c>
      <c r="K1643">
        <f>HYPERLINK("https://raw.githubusercontent.com/marcosmapl/dataset_imigrantes/main/noticias_filtered/a_critica/venezuelanos/2019/02_mar/html/1.73434_107.html", "HTML")</f>
        <v/>
      </c>
      <c r="L1643">
        <f>HYPERLINK("https://raw.githubusercontent.com/marcosmapl/dataset_imigrantes/main/noticias_filtered/a_critica/venezuelanos/2019/02_mar/txt/1.73434_107.txt", "TXT")</f>
        <v/>
      </c>
    </row>
    <row r="1644">
      <c r="A1644" s="1" t="n">
        <v>1642</v>
      </c>
      <c r="B1644" t="n">
        <v>2019</v>
      </c>
      <c r="C1644" s="2" t="n">
        <v>43532.65277777778</v>
      </c>
      <c r="D1644" t="inlineStr">
        <is>
          <t>A CRITICA</t>
        </is>
      </c>
      <c r="E1644" t="inlineStr">
        <is>
          <t>VENEZUELANOS</t>
        </is>
      </c>
      <c r="F1644" t="inlineStr">
        <is>
          <t>MANAUS</t>
        </is>
      </c>
      <c r="G1644" t="inlineStr">
        <is>
          <t>ACRÍTICA.COM</t>
        </is>
      </c>
      <c r="H1644" t="inlineStr">
        <is>
          <t>MODELO AMAZONENSE ESFAQUEADA NO CARNAVAL COMPLETA 12 DIAS INTERNADA; QUADRO É ESTÁVEL</t>
        </is>
      </c>
      <c r="I1644" t="inlineStr">
        <is>
          <t>SEGUNDO HOSPITAL, MABEL CRISTINA OLIVEIRA DOS SANTOS SEGUE NA UTI, ACORDADA E RESPIRANDO ESPONTANEAMENTE</t>
        </is>
      </c>
      <c r="J1644">
        <f>HYPERLINK("https://www.acritica.com/manaus/modelo-amazonense-esfaqueada-no-carnaval-completa-12-dias-internada-quadro-e-estavel-1.73462", "URL")</f>
        <v/>
      </c>
      <c r="K1644">
        <f>HYPERLINK("https://raw.githubusercontent.com/marcosmapl/dataset_imigrantes/main/noticias_filtered/a_critica/venezuelanos/2019/02_mar/html/1.73462_1266.html", "HTML")</f>
        <v/>
      </c>
      <c r="L1644">
        <f>HYPERLINK("https://raw.githubusercontent.com/marcosmapl/dataset_imigrantes/main/noticias_filtered/a_critica/venezuelanos/2019/02_mar/txt/1.73462_1266.txt", "TXT")</f>
        <v/>
      </c>
    </row>
    <row r="1645">
      <c r="A1645" s="1" t="n">
        <v>1643</v>
      </c>
      <c r="B1645" t="n">
        <v>2019</v>
      </c>
      <c r="C1645" s="2" t="n">
        <v>43532.55700635417</v>
      </c>
      <c r="D1645" t="inlineStr">
        <is>
          <t>G1</t>
        </is>
      </c>
      <c r="E1645" t="inlineStr">
        <is>
          <t>VENEZUELANOS</t>
        </is>
      </c>
      <c r="F1645" t="inlineStr">
        <is>
          <t>PARÁ</t>
        </is>
      </c>
      <c r="G1645" t="inlineStr">
        <is>
          <t>G1 PA — BELÉM</t>
        </is>
      </c>
      <c r="H1645" t="inlineStr">
        <is>
          <t>CINCO CRIANÇAS VENEZUELANAS MORREM VÍTIMAS DE PNEUMONIA EM BELÉM; ESPECIALISTA ALERTA PARA CUIDADOS NO PERÍODO CHUVOSO</t>
        </is>
      </c>
      <c r="I1645" t="inlineStr">
        <is>
          <t>ÚLTIMA VÍTIMA FOI UMA CRIANÇA DE 11 MESES DA ETNIA WARAO, QUE MORREU NA TERÇA-FEIRA (5). A CRIANÇA MORAVA EM UM ABRIGO IMPROVISADO NO BAIRRO DA CAMPINA.</t>
        </is>
      </c>
      <c r="J1645">
        <f>HYPERLINK("https://g1.globo.com/pa/para/noticia/2019/03/08/cinco-criancas-venezuelanas-morreram-vitimas-de-pneumonia-em-belem-especialista-alerta-para-cuidados-no-periodo-chuvoso.ghtml", "URL")</f>
        <v/>
      </c>
      <c r="K1645">
        <f>HYPERLINK("https://raw.githubusercontent.com/marcosmapl/dataset_imigrantes/main/noticias_filtered/g1/venezuelanos/2019/02_mar/html/g1_d787feb0-230c-11ed-b24f-6dbe51e79fca_2651.html", "HTML")</f>
        <v/>
      </c>
      <c r="L1645">
        <f>HYPERLINK("https://raw.githubusercontent.com/marcosmapl/dataset_imigrantes/main/noticias_filtered/g1/venezuelanos/2019/02_mar/txt/g1_d787feb0-230c-11ed-b24f-6dbe51e79fca_2651.txt", "TXT")</f>
        <v/>
      </c>
    </row>
    <row r="1646">
      <c r="A1646" s="1" t="n">
        <v>1644</v>
      </c>
      <c r="B1646" t="n">
        <v>2019</v>
      </c>
      <c r="C1646" s="2" t="n">
        <v>43532.52435752315</v>
      </c>
      <c r="D1646" t="inlineStr">
        <is>
          <t>G1</t>
        </is>
      </c>
      <c r="E1646" t="inlineStr">
        <is>
          <t>VENEZUELANOS</t>
        </is>
      </c>
      <c r="F1646" t="inlineStr">
        <is>
          <t>MUNDO</t>
        </is>
      </c>
      <c r="G1646" t="inlineStr">
        <is>
          <t>G1</t>
        </is>
      </c>
      <c r="H1646" t="inlineStr">
        <is>
          <t>BLECAUTE CONTINUA NA VENEZUELA;  GOVERNO FECHA ESCOLAS E DISPENSA TRABALHADORES</t>
        </is>
      </c>
      <c r="I1646" t="inlineStr">
        <is>
          <t>PROBLEMA QUE ATINGIU A PRINCIPAL USINA HIDRELÉTRICA VENEZUELANA NA QUINTA-FEIRA JÁ DEIXA PARTE DO PAÍS SEM ENERGIA ELÉTRICA HÁ MAIS DE 15 HORAS.</t>
        </is>
      </c>
      <c r="J1646">
        <f>HYPERLINK("https://g1.globo.com/mundo/noticia/2019/03/08/blecaute-continua-na-venezuela-governo-fecha-escolas-e-dispensa-trabalhadores.ghtml", "URL")</f>
        <v/>
      </c>
      <c r="K1646">
        <f>HYPERLINK("https://raw.githubusercontent.com/marcosmapl/dataset_imigrantes/main/noticias_filtered/g1/venezuelanos/2019/02_mar/html/g1_5c4b629e-232c-11ed-b24f-6dbe51e79fca_4300.html", "HTML")</f>
        <v/>
      </c>
      <c r="L1646">
        <f>HYPERLINK("https://raw.githubusercontent.com/marcosmapl/dataset_imigrantes/main/noticias_filtered/g1/venezuelanos/2019/02_mar/txt/g1_5c4b629e-232c-11ed-b24f-6dbe51e79fca_4300.txt", "TXT")</f>
        <v/>
      </c>
    </row>
    <row r="1647">
      <c r="A1647" s="1" t="n">
        <v>1645</v>
      </c>
      <c r="B1647" t="n">
        <v>2019</v>
      </c>
      <c r="C1647" s="2" t="n">
        <v>43532.51111111111</v>
      </c>
      <c r="D1647" t="inlineStr">
        <is>
          <t>A CRITICA</t>
        </is>
      </c>
      <c r="E1647" t="inlineStr">
        <is>
          <t>VENEZUELANOS</t>
        </is>
      </c>
      <c r="F1647" t="inlineStr"/>
      <c r="G1647" t="inlineStr">
        <is>
          <t>GILBERTO COSTA -  AGÊNCIA BRASIL</t>
        </is>
      </c>
      <c r="H1647" t="inlineStr">
        <is>
          <t>FECHAMENTO DE FRONTEIRA COM A VENEZUELA PARALISA COMÉRCIO EM PACARAIMA</t>
        </is>
      </c>
      <c r="I1647" t="inlineStr">
        <is>
          <t>OS COMERCIANTES E A POPULAÇÃO PERDERAM ACESSO AOS POSTOS DE COMBUSTÍVEIS NA VENEZUELA. NÃO HÁ POSTOS NA CIDADE FRONTEIRIÇA BRASILEIRA</t>
        </is>
      </c>
      <c r="J1647">
        <f>HYPERLINK("https://www.acritica.com/fechamento-de-fronteira-com-a-venezuela-paralisa-comercio-em-pacaraima-1.73523", "URL")</f>
        <v/>
      </c>
      <c r="K1647">
        <f>HYPERLINK("https://raw.githubusercontent.com/marcosmapl/dataset_imigrantes/main/noticias_filtered/a_critica/venezuelanos/2019/02_mar/html/1.73523_606.html", "HTML")</f>
        <v/>
      </c>
      <c r="L1647">
        <f>HYPERLINK("https://raw.githubusercontent.com/marcosmapl/dataset_imigrantes/main/noticias_filtered/a_critica/venezuelanos/2019/02_mar/txt/1.73523_606.txt", "TXT")</f>
        <v/>
      </c>
    </row>
    <row r="1648">
      <c r="A1648" s="1" t="n">
        <v>1646</v>
      </c>
      <c r="B1648" t="n">
        <v>2019</v>
      </c>
      <c r="C1648" s="2" t="n">
        <v>43532.49930555555</v>
      </c>
      <c r="D1648" t="inlineStr">
        <is>
          <t>PORTAL AMAZONIA</t>
        </is>
      </c>
      <c r="E1648" t="inlineStr">
        <is>
          <t>VENEZUELANOS</t>
        </is>
      </c>
      <c r="F1648" t="inlineStr">
        <is>
          <t>CIDADES</t>
        </is>
      </c>
      <c r="G1648" t="inlineStr">
        <is>
          <t>REDAÇÃO</t>
        </is>
      </c>
      <c r="H1648" t="inlineStr">
        <is>
          <t>PACARAIMA TEM COMÉRCIO PREJUDICADO DEVIDO FECHAMENTO DA FRONTEIRA</t>
        </is>
      </c>
      <c r="I1648" t="inlineStr">
        <is>
          <t>O FECHAMENTO DA FRONTEIRA COM O BRASIL DETERMINADA PELO PRESIDENTE DA VENEZUELA, NICOLÁS MADURO, NO DIA 21 DE FEVEREIRO, ESTÁ IMPACTANDO A ECONOMIA DE PACARAIMA (RR), CUJO O COMÉRCIO ATENDE A POPULAÇÃO DO SUDESTE DO PAÍS VIZINHO, EM ESPECIAL DE SANTA</t>
        </is>
      </c>
      <c r="J1648">
        <f>HYPERLINK("https://portalamazonia.com/noticias/cidades/pacaraima-tem-comercio-prejudicado-devido-fechamento-da-fronteira", "URL")</f>
        <v/>
      </c>
      <c r="K1648">
        <f>HYPERLINK("https://raw.githubusercontent.com/marcosmapl/dataset_imigrantes/main/noticias_filtered/portal_amazonia/venezuelanos/2019/02_mar/html/17267.17267_1500.html", "HTML")</f>
        <v/>
      </c>
      <c r="L1648">
        <f>HYPERLINK("https://raw.githubusercontent.com/marcosmapl/dataset_imigrantes/main/noticias_filtered/portal_amazonia/venezuelanos/2019/02_mar/txt/17267.17267_1500.txt", "TXT")</f>
        <v/>
      </c>
    </row>
    <row r="1649">
      <c r="A1649" s="1" t="n">
        <v>1647</v>
      </c>
      <c r="B1649" t="n">
        <v>2019</v>
      </c>
      <c r="C1649" s="2" t="n">
        <v>43531.95625</v>
      </c>
      <c r="D1649" t="inlineStr">
        <is>
          <t>A CRITICA</t>
        </is>
      </c>
      <c r="E1649" t="inlineStr">
        <is>
          <t>VENEZUELANOS</t>
        </is>
      </c>
      <c r="F1649" t="inlineStr">
        <is>
          <t>MANAUS</t>
        </is>
      </c>
      <c r="G1649" t="inlineStr">
        <is>
          <t>PAULO ANDRÉ NUNES</t>
        </is>
      </c>
      <c r="H1649" t="inlineStr">
        <is>
          <t>HISTÓRIAS, OBJETIVOS, CONQUISTAS E LUTAS QUE PERSONIFICAM A GARRA DAS MULHERES NO AM</t>
        </is>
      </c>
      <c r="I1649" t="inlineStr">
        <is>
          <t>A CORAGEM E O SANGUE-FRIO ESTÃO INCLUÍDOS NO “PACOTE” DA VIDA PARALELO A SENSIBILIDADE DE MULHERES QUE BUSCAM SEMPRE O PRIMOR EM SUAS VIDAS; ACOMPANHE ALGUMAS DESSAS GUERREIRAS</t>
        </is>
      </c>
      <c r="J1649">
        <f>HYPERLINK("https://www.acritica.com/manaus/historias-objetivos-conquistas-e-lutas-que-personificam-a-garra-das-mulheres-no-am-1.72410", "URL")</f>
        <v/>
      </c>
      <c r="K1649">
        <f>HYPERLINK("https://raw.githubusercontent.com/marcosmapl/dataset_imigrantes/main/noticias_filtered/a_critica/venezuelanos/2019/02_mar/html/1.72410_231.html", "HTML")</f>
        <v/>
      </c>
      <c r="L1649">
        <f>HYPERLINK("https://raw.githubusercontent.com/marcosmapl/dataset_imigrantes/main/noticias_filtered/a_critica/venezuelanos/2019/02_mar/txt/1.72410_231.txt", "TXT")</f>
        <v/>
      </c>
    </row>
    <row r="1650">
      <c r="A1650" s="1" t="n">
        <v>1648</v>
      </c>
      <c r="B1650" t="n">
        <v>2019</v>
      </c>
      <c r="C1650" s="2" t="n">
        <v>43531.53111111111</v>
      </c>
      <c r="D1650" t="inlineStr">
        <is>
          <t>A CRITICA</t>
        </is>
      </c>
      <c r="E1650" t="inlineStr">
        <is>
          <t>VENEZUELANOS</t>
        </is>
      </c>
      <c r="F1650" t="inlineStr"/>
      <c r="G1650" t="inlineStr">
        <is>
          <t>AGÊNCIA BRASIL*</t>
        </is>
      </c>
      <c r="H1650" t="inlineStr">
        <is>
          <t>GUAIDÓ PEDE À EUROPA QUE INTENSIFIQUE SANÇÕES CONTRA REGIME DE MADURO</t>
        </is>
      </c>
      <c r="I1650" t="inlineStr">
        <is>
          <t>PEDIDO OCORRE EMBAIXADOR DA ALEMANHA NO PAÍS TER SIDO EXPULSO. “OS PAÍSES EUROPEUS DEVEM REFORÇAR AS SANÇÕES ECONÔMICAS CONTRA O REGIME”, DISSE GUAIDÓ</t>
        </is>
      </c>
      <c r="J1650">
        <f>HYPERLINK("https://www.acritica.com/guaido-pede-a-europa-que-intensifique-sanc-es-contra-regime-de-maduro-1.72442", "URL")</f>
        <v/>
      </c>
      <c r="K1650">
        <f>HYPERLINK("https://raw.githubusercontent.com/marcosmapl/dataset_imigrantes/main/noticias_filtered/a_critica/venezuelanos/2019/02_mar/html/1.72442_703.html", "HTML")</f>
        <v/>
      </c>
      <c r="L1650">
        <f>HYPERLINK("https://raw.githubusercontent.com/marcosmapl/dataset_imigrantes/main/noticias_filtered/a_critica/venezuelanos/2019/02_mar/txt/1.72442_703.txt", "TXT")</f>
        <v/>
      </c>
    </row>
    <row r="1651">
      <c r="A1651" s="1" t="n">
        <v>1649</v>
      </c>
      <c r="B1651" t="n">
        <v>2019</v>
      </c>
      <c r="C1651" s="2" t="n">
        <v>43530.50208333333</v>
      </c>
      <c r="D1651" t="inlineStr">
        <is>
          <t>A CRITICA</t>
        </is>
      </c>
      <c r="E1651" t="inlineStr">
        <is>
          <t>VENEZUELANOS</t>
        </is>
      </c>
      <c r="F1651" t="inlineStr"/>
      <c r="G1651" t="inlineStr">
        <is>
          <t>AGÊNCIA BRASIL</t>
        </is>
      </c>
      <c r="H1651" t="inlineStr">
        <is>
          <t>GUAIDÓ E MADURO CONVOCAM MANIFESTAÇÕES PARA SÁBADO (9) NA VENEZUELA</t>
        </is>
      </c>
      <c r="I1651" t="inlineStr">
        <is>
          <t>ONTEM (5), GUAIDÓ SE REUNIU COM LÍDERES SINDICALISTAS E REITEROU QUE HAVERÁ MANIFESTAÇÕES EM FAVOR DA RESTAURAÇÃO DA DEMOCRACIA E DA LIBERDADE NA VENEZUELA</t>
        </is>
      </c>
      <c r="J1651">
        <f>HYPERLINK("https://www.acritica.com/guaido-e-maduro-convocam-manifestac-es-para-sabado-9-na-venezuela-1.73593", "URL")</f>
        <v/>
      </c>
      <c r="K1651">
        <f>HYPERLINK("https://raw.githubusercontent.com/marcosmapl/dataset_imigrantes/main/noticias_filtered/a_critica/venezuelanos/2019/02_mar/html/1.73593_602.html", "HTML")</f>
        <v/>
      </c>
      <c r="L1651">
        <f>HYPERLINK("https://raw.githubusercontent.com/marcosmapl/dataset_imigrantes/main/noticias_filtered/a_critica/venezuelanos/2019/02_mar/txt/1.73593_602.txt", "TXT")</f>
        <v/>
      </c>
    </row>
    <row r="1652">
      <c r="A1652" s="1" t="n">
        <v>1650</v>
      </c>
      <c r="B1652" t="n">
        <v>2019</v>
      </c>
      <c r="C1652" s="2" t="n">
        <v>43529.50397497685</v>
      </c>
      <c r="D1652" t="inlineStr">
        <is>
          <t>G1</t>
        </is>
      </c>
      <c r="E1652" t="inlineStr">
        <is>
          <t>VENEZUELANOS</t>
        </is>
      </c>
      <c r="F1652" t="inlineStr">
        <is>
          <t>RORAIMA</t>
        </is>
      </c>
      <c r="G1652" t="inlineStr">
        <is>
          <t>JACKSON FÉLIX, EMILY COSTA E ALAN CHAVES, G1 RR</t>
        </is>
      </c>
      <c r="H1652" t="inlineStr">
        <is>
          <t>EM PACARAIMA, FRONTEIRA COM A VENEZUELA AMANHECE FECHADA PELO 12º DIA</t>
        </is>
      </c>
      <c r="I1652" t="inlineStr">
        <is>
          <t>COMERCIANTES ENFRENTAM PROBLEMAS COM QUEDA NAS VENDAS; CRIANÇAS VENEZUELANAS QUE ESTUDAM NA CIDADE BRASILEIRA CORREM O RISCO DE PERDER O INÍCIO DAS AULAS, MARCADO PARA A QUINTA-FEIRA (7).</t>
        </is>
      </c>
      <c r="J1652">
        <f>HYPERLINK("https://g1.globo.com/rr/roraima/noticia/2019/03/05/em-pacaraima-fronteira-com-a-venezuela-amanhece-fechada-pelo-12o-dia.ghtml", "URL")</f>
        <v/>
      </c>
      <c r="K1652">
        <f>HYPERLINK("https://raw.githubusercontent.com/marcosmapl/dataset_imigrantes/main/noticias_filtered/g1/venezuelanos/2019/02_mar/html/g1_8dd1a530-2313-11ed-b24f-6dbe51e79fca_3014.html", "HTML")</f>
        <v/>
      </c>
      <c r="L1652">
        <f>HYPERLINK("https://raw.githubusercontent.com/marcosmapl/dataset_imigrantes/main/noticias_filtered/g1/venezuelanos/2019/02_mar/txt/g1_8dd1a530-2313-11ed-b24f-6dbe51e79fca_3014.txt", "TXT")</f>
        <v/>
      </c>
    </row>
    <row r="1653">
      <c r="A1653" s="1" t="n">
        <v>1651</v>
      </c>
      <c r="B1653" t="n">
        <v>2019</v>
      </c>
      <c r="C1653" s="2" t="n">
        <v>43528.68575231481</v>
      </c>
      <c r="D1653" t="inlineStr">
        <is>
          <t>A CRITICA</t>
        </is>
      </c>
      <c r="E1653" t="inlineStr">
        <is>
          <t>VENEZUELANOS</t>
        </is>
      </c>
      <c r="F1653" t="inlineStr"/>
      <c r="G1653" t="inlineStr">
        <is>
          <t>AGÊNCIA BRASIL</t>
        </is>
      </c>
      <c r="H1653" t="inlineStr">
        <is>
          <t>NICOLÁS MADURO ANALISA ADOTAR MEDIDAS LEGAIS CONTRA JUAN GUAIDÓ NA VENEZUELA</t>
        </is>
      </c>
      <c r="I1653" t="inlineStr">
        <is>
          <t>GUAIDÓ SE AUTODECLARA PRESIDENTE INTERINO DA VENEZUELA. SEGUNDO A VICE-PRESIDENTE DO PAÍS, DELCY RODRÍGUEZ, SERÃO AVALIADAS QUE MEDIDAS DEVERÃO SER ADOTADAS</t>
        </is>
      </c>
      <c r="J1653">
        <f>HYPERLINK("https://www.acritica.com/nicolas-maduro-analisa-adotar-medidas-legais-contra-juan-guaido-na-venezuela-1.73633", "URL")</f>
        <v/>
      </c>
      <c r="K1653">
        <f>HYPERLINK("https://raw.githubusercontent.com/marcosmapl/dataset_imigrantes/main/noticias_filtered/a_critica/venezuelanos/2019/02_mar/html/1.73633_1262.html", "HTML")</f>
        <v/>
      </c>
      <c r="L1653">
        <f>HYPERLINK("https://raw.githubusercontent.com/marcosmapl/dataset_imigrantes/main/noticias_filtered/a_critica/venezuelanos/2019/02_mar/txt/1.73633_1262.txt", "TXT")</f>
        <v/>
      </c>
    </row>
    <row r="1654">
      <c r="A1654" s="1" t="n">
        <v>1652</v>
      </c>
      <c r="B1654" t="n">
        <v>2019</v>
      </c>
      <c r="C1654" s="2" t="n">
        <v>43528.6265653588</v>
      </c>
      <c r="D1654" t="inlineStr">
        <is>
          <t>G1</t>
        </is>
      </c>
      <c r="E1654" t="inlineStr">
        <is>
          <t>AMBOS</t>
        </is>
      </c>
      <c r="F1654" t="inlineStr">
        <is>
          <t>MUNDO</t>
        </is>
      </c>
      <c r="G1654" t="inlineStr">
        <is>
          <t>BBC</t>
        </is>
      </c>
      <c r="H1654" t="inlineStr">
        <is>
          <t>CRISE NA VENEZUELA: AS INTERVENÇÕES MILITARES DOS EUA NA AMÉRICA LATINA QUE LEVARAM A MUDANÇA DE GOVERNO</t>
        </is>
      </c>
      <c r="I1654" t="inlineStr">
        <is>
          <t>PRESIDENTE AMERICANO, DONALD TRUMP, NÃO DESCARTA OPÇÃO MILITAR NA VENEZUELA, APESAR DA OPOSIÇÃO DA MAIORIA DOS PAÍSES DA AMÉRICA LATINA, ONDE ESPECTRO DAS INTERVENÇÕES DE WASHINGTON NO PASSADO CONTINUA PRESENTE.</t>
        </is>
      </c>
      <c r="J1654">
        <f>HYPERLINK("https://g1.globo.com/mundo/noticia/2019/03/04/crise-na-venezuela-as-intervencoes-militares-dos-eua-na-america-latina-que-levaram-a-mudanca-de-governo.ghtml", "URL")</f>
        <v/>
      </c>
      <c r="K1654">
        <f>HYPERLINK("https://raw.githubusercontent.com/marcosmapl/dataset_imigrantes/main/noticias_filtered/g1/ambos/2019/02_mar/html/g1_6fe2b238-231a-11ed-b24f-6dbe51e79fca_3335.html", "HTML")</f>
        <v/>
      </c>
      <c r="L1654">
        <f>HYPERLINK("https://raw.githubusercontent.com/marcosmapl/dataset_imigrantes/main/noticias_filtered/g1/ambos/2019/02_mar/txt/g1_6fe2b238-231a-11ed-b24f-6dbe51e79fca_3335.txt", "TXT")</f>
        <v/>
      </c>
    </row>
    <row r="1655">
      <c r="A1655" s="1" t="n">
        <v>1653</v>
      </c>
      <c r="B1655" t="n">
        <v>2019</v>
      </c>
      <c r="C1655" s="2" t="n">
        <v>43528.58680555555</v>
      </c>
      <c r="D1655" t="inlineStr">
        <is>
          <t>PORTAL AMAZONIA</t>
        </is>
      </c>
      <c r="E1655" t="inlineStr">
        <is>
          <t>VENEZUELANOS</t>
        </is>
      </c>
      <c r="F1655" t="inlineStr">
        <is>
          <t>CIDADES</t>
        </is>
      </c>
      <c r="G1655" t="inlineStr">
        <is>
          <t>REDAÇÃO</t>
        </is>
      </c>
      <c r="H1655" t="inlineStr">
        <is>
          <t>FRONTEIRA FECHADA DO BRASIL COM A VENEZUELA CHEGA AO 11º DIA</t>
        </is>
      </c>
      <c r="I1655" t="inlineStr">
        <is>
          <t>JÁ É O 11º DIA CONSECUTIVO EM QUE A FRONTEIRA DO BRASIL COM A VENEZUELA, NO MUNICÍPIO DE PACARAIMA, EM RORAIMA, ESTÁ FECHADA, CONFORME ORIENTAÇÕES DO PRESIDENTE NICOLÁS MADURO. AS INFORMAÇÕES SÃO DO G1 RORAIMA.FOTO: ALAN CHAVES/REDE AMAZÔNICAESTÃO SE</t>
        </is>
      </c>
      <c r="J1655">
        <f>HYPERLINK("https://portalamazonia.com/noticias/cidades/fronteira-fechada-do-brasil-com-a-venezuela-chega-ao-11-dia", "URL")</f>
        <v/>
      </c>
      <c r="K1655">
        <f>HYPERLINK("https://raw.githubusercontent.com/marcosmapl/dataset_imigrantes/main/noticias_filtered/portal_amazonia/venezuelanos/2019/02_mar/html/17219.17219_1396.html", "HTML")</f>
        <v/>
      </c>
      <c r="L1655">
        <f>HYPERLINK("https://raw.githubusercontent.com/marcosmapl/dataset_imigrantes/main/noticias_filtered/portal_amazonia/venezuelanos/2019/02_mar/txt/17219.17219_1396.txt", "TXT")</f>
        <v/>
      </c>
    </row>
    <row r="1656">
      <c r="A1656" s="1" t="n">
        <v>1654</v>
      </c>
      <c r="B1656" t="n">
        <v>2019</v>
      </c>
      <c r="C1656" s="2" t="n">
        <v>43528.51116898148</v>
      </c>
      <c r="D1656" t="inlineStr">
        <is>
          <t>A CRITICA</t>
        </is>
      </c>
      <c r="E1656" t="inlineStr">
        <is>
          <t>VENEZUELANOS</t>
        </is>
      </c>
      <c r="F1656" t="inlineStr"/>
      <c r="G1656" t="inlineStr">
        <is>
          <t>AGÊNCIA BRASIL</t>
        </is>
      </c>
      <c r="H1656" t="inlineStr">
        <is>
          <t>EM TRANSMISSÃO AO VIVO, GUAIDÓ PROMETE RETORNAR À VENEZUELA A QUALQUER MOMENTO</t>
        </is>
      </c>
      <c r="I1656" t="inlineStr">
        <is>
          <t>O AUTODECLARADO PRESIDENTE INTERINO DO PAÍS, JUAN GUAIDÓ, CONVOCOU A POPULAÇÃO PARA MOBILIZAÇÃO NACIONAL HOJE (4) A PARTIR DAS 11H, MEIO-DIA EM BRASÍLIA</t>
        </is>
      </c>
      <c r="J1656">
        <f>HYPERLINK("https://www.acritica.com/em-transmiss-o-ao-vivo-guaido-promete-retornar-a-venezuela-a-qualquer-momento-1.72471", "URL")</f>
        <v/>
      </c>
      <c r="K1656">
        <f>HYPERLINK("https://raw.githubusercontent.com/marcosmapl/dataset_imigrantes/main/noticias_filtered/a_critica/venezuelanos/2019/02_mar/html/1.72471_881.html", "HTML")</f>
        <v/>
      </c>
      <c r="L1656">
        <f>HYPERLINK("https://raw.githubusercontent.com/marcosmapl/dataset_imigrantes/main/noticias_filtered/a_critica/venezuelanos/2019/02_mar/txt/1.72471_881.txt", "TXT")</f>
        <v/>
      </c>
    </row>
    <row r="1657">
      <c r="A1657" s="1" t="n">
        <v>1655</v>
      </c>
      <c r="B1657" t="n">
        <v>2019</v>
      </c>
      <c r="C1657" s="2" t="n">
        <v>43528.46032798611</v>
      </c>
      <c r="D1657" t="inlineStr">
        <is>
          <t>G1</t>
        </is>
      </c>
      <c r="E1657" t="inlineStr">
        <is>
          <t>VENEZUELANOS</t>
        </is>
      </c>
      <c r="F1657" t="inlineStr">
        <is>
          <t>PARAÍBA</t>
        </is>
      </c>
      <c r="G1657" t="inlineStr">
        <is>
          <t>ÉRICA RIBEIRO*, G1 PB</t>
        </is>
      </c>
      <c r="H1657" t="inlineStr">
        <is>
          <t>VENEZUELANO NA PB ADIA MUDANÇA DE NAMORADA PARA O BRASIL APÓS BLOQUEIO DA FRONTEIRA ENTRE PAÍSES</t>
        </is>
      </c>
      <c r="I1657" t="inlineStr">
        <is>
          <t>GLEOMAR AILLON MORA E TRABALHA EM CAMPINA GRANDE. ELE COMPROU PASSAGEM PARA A NAMORADA VIR PARA O BRASIL ACREDITANDO QUE ELA CONSEGUIRIA ATRAVESSAR A FRONTEIRA NO DIA 21 DE FEVEREIRO, MAS A FRONTEIRA FOI FECHADA HORAS ANTES.</t>
        </is>
      </c>
      <c r="J1657">
        <f>HYPERLINK("https://g1.globo.com/pb/paraiba/noticia/2019/03/04/venezuelano-na-pb-adia-mudanca-de-namorada-para-o-brasil-apos-bloqueio-da-fronteira-entre-paises.ghtml", "URL")</f>
        <v/>
      </c>
      <c r="K1657">
        <f>HYPERLINK("https://raw.githubusercontent.com/marcosmapl/dataset_imigrantes/main/noticias_filtered/g1/venezuelanos/2019/02_mar/html/g1_8ce39bcc-231a-11ed-b24f-6dbe51e79fca_3341.html", "HTML")</f>
        <v/>
      </c>
      <c r="L1657">
        <f>HYPERLINK("https://raw.githubusercontent.com/marcosmapl/dataset_imigrantes/main/noticias_filtered/g1/venezuelanos/2019/02_mar/txt/g1_8ce39bcc-231a-11ed-b24f-6dbe51e79fca_3341.txt", "TXT")</f>
        <v/>
      </c>
    </row>
    <row r="1658">
      <c r="A1658" s="1" t="n">
        <v>1656</v>
      </c>
      <c r="B1658" t="n">
        <v>2019</v>
      </c>
      <c r="C1658" s="2" t="n">
        <v>43528.09945987268</v>
      </c>
      <c r="D1658" t="inlineStr">
        <is>
          <t>G1</t>
        </is>
      </c>
      <c r="E1658" t="inlineStr">
        <is>
          <t>HAITIANOS</t>
        </is>
      </c>
      <c r="F1658" t="inlineStr">
        <is>
          <t>CARNAVAL 2019</t>
        </is>
      </c>
      <c r="G1658" t="inlineStr">
        <is>
          <t>G1</t>
        </is>
      </c>
      <c r="H1658" t="inlineStr">
        <is>
          <t>DESFILE DA UNIDOS DO VIRADOURO; VEJA FOTOS</t>
        </is>
      </c>
      <c r="I1658" t="inlineStr">
        <is>
          <t>ESCOLA FOI A SEGUNDA A DESFILAR NA SAPUCAÍ NO PRIMEIRO DIA DO GRUPO ESPECIAL DO RIO.</t>
        </is>
      </c>
      <c r="J1658">
        <f>HYPERLINK("https://g1.globo.com/rj/rio-de-janeiro/carnaval/2019/noticia/2019/03/03/desfile-da-unidos-do-viradouro-veja-fotos.ghtml", "URL")</f>
        <v/>
      </c>
      <c r="K1658">
        <f>HYPERLINK("https://raw.githubusercontent.com/marcosmapl/dataset_imigrantes/main/noticias_filtered/g1/haitianos/2019/02_mar/html/g1_0fc08238-230e-11ed-b24f-6dbe51e79fca_2718.html", "HTML")</f>
        <v/>
      </c>
      <c r="L1658">
        <f>HYPERLINK("https://raw.githubusercontent.com/marcosmapl/dataset_imigrantes/main/noticias_filtered/g1/haitianos/2019/02_mar/txt/g1_0fc08238-230e-11ed-b24f-6dbe51e79fca_2718.txt", "TXT")</f>
        <v/>
      </c>
    </row>
    <row r="1659">
      <c r="A1659" s="1" t="n">
        <v>1657</v>
      </c>
      <c r="B1659" t="n">
        <v>2019</v>
      </c>
      <c r="C1659" s="2" t="n">
        <v>43528.06096666666</v>
      </c>
      <c r="D1659" t="inlineStr">
        <is>
          <t>G1</t>
        </is>
      </c>
      <c r="E1659" t="inlineStr">
        <is>
          <t>VENEZUELANOS</t>
        </is>
      </c>
      <c r="F1659" t="inlineStr">
        <is>
          <t>MUNDO</t>
        </is>
      </c>
      <c r="G1659" t="inlineStr">
        <is>
          <t>G1</t>
        </is>
      </c>
      <c r="H1659" t="inlineStr">
        <is>
          <t>GUAIDÓ ANUNCIA QUE PARTICIPARÁ DE MANIFESTAÇÃO CONTRA MADURO NA VENEZUELA NA SEGUNDA</t>
        </is>
      </c>
      <c r="I1659" t="inlineStr">
        <is>
          <t>EM TRANSMISSÃO AO VIVO NA INTERNET, AUTOPROCLAMADO PRESIDENTE INTERINO DISSE QUE 'SE USURPADOR E SEUS CÚMPLICES' O PRENDEREM QUANDO ELE RETORNAR AO PAÍS, ALIADOS INTERNACIONAIS TÊM INSTRUÇÕES CLARAS A SEGUIR.</t>
        </is>
      </c>
      <c r="J1659">
        <f>HYPERLINK("https://g1.globo.com/mundo/noticia/2019/03/03/guaido-anuncia-que-participara-de-manifestacao-contra-maduro-na-venezuela-na-segunda.ghtml", "URL")</f>
        <v/>
      </c>
      <c r="K1659">
        <f>HYPERLINK("https://raw.githubusercontent.com/marcosmapl/dataset_imigrantes/main/noticias_filtered/g1/venezuelanos/2019/02_mar/html/g1_bdf84512-2312-11ed-b24f-6dbe51e79fca_2978.html", "HTML")</f>
        <v/>
      </c>
      <c r="L1659">
        <f>HYPERLINK("https://raw.githubusercontent.com/marcosmapl/dataset_imigrantes/main/noticias_filtered/g1/venezuelanos/2019/02_mar/txt/g1_bdf84512-2312-11ed-b24f-6dbe51e79fca_2978.txt", "TXT")</f>
        <v/>
      </c>
    </row>
    <row r="1660">
      <c r="A1660" s="1" t="n">
        <v>1658</v>
      </c>
      <c r="B1660" t="n">
        <v>2019</v>
      </c>
      <c r="C1660" s="2" t="n">
        <v>43527.67261574074</v>
      </c>
      <c r="D1660" t="inlineStr">
        <is>
          <t>A CRITICA</t>
        </is>
      </c>
      <c r="E1660" t="inlineStr">
        <is>
          <t>VENEZUELANOS</t>
        </is>
      </c>
      <c r="F1660" t="inlineStr"/>
      <c r="G1660" t="inlineStr">
        <is>
          <t>LETYCIA BOND - AGÊNCIA BRASIL</t>
        </is>
      </c>
      <c r="H1660" t="inlineStr">
        <is>
          <t>SEGUNDA MORTE: MORRE INDÍGENA FERIDO EM CONFLITO COM MILITARES VENEZUELANOS</t>
        </is>
      </c>
      <c r="I1660" t="inlineStr">
        <is>
          <t>MARTINEZ ENCONTRAVA-SE EM ESTADO GRAVE E RESPIRAVA COM A AJUDA DE APARELHOS, INTERNADO NA UNIDADE DE TERAPIA INTENSIVA (UTI) DO HOSPITAL GERAL DE RORAIMA.</t>
        </is>
      </c>
      <c r="J1660">
        <f>HYPERLINK("https://www.acritica.com/segunda-morte-morre-indigena-ferido-em-conflito-com-militares-venezuelanos-1.72495", "URL")</f>
        <v/>
      </c>
      <c r="K1660">
        <f>HYPERLINK("https://raw.githubusercontent.com/marcosmapl/dataset_imigrantes/main/noticias_filtered/a_critica/venezuelanos/2019/02_mar/html/1.72495_803.html", "HTML")</f>
        <v/>
      </c>
      <c r="L1660">
        <f>HYPERLINK("https://raw.githubusercontent.com/marcosmapl/dataset_imigrantes/main/noticias_filtered/a_critica/venezuelanos/2019/02_mar/txt/1.72495_803.txt", "TXT")</f>
        <v/>
      </c>
    </row>
    <row r="1661">
      <c r="A1661" s="1" t="n">
        <v>1659</v>
      </c>
      <c r="B1661" t="n">
        <v>2019</v>
      </c>
      <c r="C1661" s="2" t="n">
        <v>43526.90696206019</v>
      </c>
      <c r="D1661" t="inlineStr">
        <is>
          <t>G1</t>
        </is>
      </c>
      <c r="E1661" t="inlineStr">
        <is>
          <t>VENEZUELANOS</t>
        </is>
      </c>
      <c r="F1661" t="inlineStr">
        <is>
          <t>SUL DO RIO E COSTA VERDE</t>
        </is>
      </c>
      <c r="G1661" t="inlineStr">
        <is>
          <t>ANDERSON PATRICK*</t>
        </is>
      </c>
      <c r="H1661" t="inlineStr">
        <is>
          <t>CONHEÇA HISTÓRIA DO VENEZUELANO QUE SE MUDOU PARA O SUL DO RIO EM BUSCA DE SOBREVIVÊNCIA</t>
        </is>
      </c>
      <c r="I1661" t="inlineStr">
        <is>
          <t>'COM O SALÁRIO DO MÊS, MAL CONSEGUÍAMOS COMPRAR UM QUILO DE QUEIJO', CONTA WILLIAM DARIO BERRIOS RODRÍGUEZ, QUE ACEITOU CONVITE DO IRMÃO PARA MORAR EM PENEDO.</t>
        </is>
      </c>
      <c r="J1661">
        <f>HYPERLINK("https://g1.globo.com/rj/sul-do-rio-costa-verde/noticia/2019/03/02/conheca-historia-do-venezuelano-que-se-mudou-para-o-sul-do-rio-em-busca-de-sobrevivencia.ghtml", "URL")</f>
        <v/>
      </c>
      <c r="K1661">
        <f>HYPERLINK("https://raw.githubusercontent.com/marcosmapl/dataset_imigrantes/main/noticias_filtered/g1/venezuelanos/2019/02_mar/html/g1_2d5064dc-2325-11ed-b24f-6dbe51e79fca_3899.html", "HTML")</f>
        <v/>
      </c>
      <c r="L1661">
        <f>HYPERLINK("https://raw.githubusercontent.com/marcosmapl/dataset_imigrantes/main/noticias_filtered/g1/venezuelanos/2019/02_mar/txt/g1_2d5064dc-2325-11ed-b24f-6dbe51e79fca_3899.txt", "TXT")</f>
        <v/>
      </c>
    </row>
    <row r="1662">
      <c r="A1662" s="1" t="n">
        <v>1660</v>
      </c>
      <c r="B1662" t="n">
        <v>2019</v>
      </c>
      <c r="C1662" s="2" t="n">
        <v>43526.54638888889</v>
      </c>
      <c r="D1662" t="inlineStr">
        <is>
          <t>A CRITICA</t>
        </is>
      </c>
      <c r="E1662" t="inlineStr">
        <is>
          <t>VENEZUELANOS</t>
        </is>
      </c>
      <c r="F1662" t="inlineStr"/>
      <c r="G1662" t="inlineStr">
        <is>
          <t>AGÊNCIA BRASIL</t>
        </is>
      </c>
      <c r="H1662" t="inlineStr">
        <is>
          <t>GUAIDÓ DEFENDE MOBILIZAÇÃO EM FAVOR DA DEMOCRACIA NA VENEZUELA</t>
        </is>
      </c>
      <c r="I1662" t="inlineStr">
        <is>
          <t>GUAIDÓ CHEGOU À ARGENTINA NO COMEÇO DA NOITE. ELE SE REUNIU COM O PRESIDENTE ARGENTINO, MAURICIO MACRI, QUE RECONHECEU A LEGITIMIDADE DE SUA INTERINIDADE NA VENEZUELA</t>
        </is>
      </c>
      <c r="J1662">
        <f>HYPERLINK("https://www.acritica.com/guaido-defende-mobilizac-o-em-favor-da-democracia-na-venezuela-1.73698", "URL")</f>
        <v/>
      </c>
      <c r="K1662">
        <f>HYPERLINK("https://raw.githubusercontent.com/marcosmapl/dataset_imigrantes/main/noticias_filtered/a_critica/venezuelanos/2019/02_mar/html/1.73698_21.html", "HTML")</f>
        <v/>
      </c>
      <c r="L1662">
        <f>HYPERLINK("https://raw.githubusercontent.com/marcosmapl/dataset_imigrantes/main/noticias_filtered/a_critica/venezuelanos/2019/02_mar/txt/1.73698_21.txt", "TXT")</f>
        <v/>
      </c>
    </row>
    <row r="1663">
      <c r="A1663" s="1" t="n">
        <v>1661</v>
      </c>
      <c r="B1663" t="n">
        <v>2019</v>
      </c>
      <c r="C1663" s="2" t="n">
        <v>43525.90357638889</v>
      </c>
      <c r="D1663" t="inlineStr">
        <is>
          <t>A CRITICA</t>
        </is>
      </c>
      <c r="E1663" t="inlineStr">
        <is>
          <t>VENEZUELANOS</t>
        </is>
      </c>
      <c r="F1663" t="inlineStr">
        <is>
          <t>ESPORTES</t>
        </is>
      </c>
      <c r="G1663" t="inlineStr">
        <is>
          <t>GABRIEL FERREIRA</t>
        </is>
      </c>
      <c r="H1663" t="inlineStr">
        <is>
          <t>3B FAZ AMISTOSO COMEMORATIVO CONTRA SALCOMP NESTE SÁBADO (2) EM MANAUS</t>
        </is>
      </c>
      <c r="I1663" t="inlineStr">
        <is>
          <t>A EQUIPE AMAZONENSE CONTA COM UM PLANTEL DE 17 JOGADORES, ENTRE ELAS OITO VENEZUELANAS, QUATRO CHILENAS E APENAS CINCO ATLETAS BRASILEIRAS</t>
        </is>
      </c>
      <c r="J1663">
        <f>HYPERLINK("https://www.acritica.com/esportes/3b-faz-amistoso-comemorativo-contra-salcomp-neste-sabado-2-em-manaus-1.73754", "URL")</f>
        <v/>
      </c>
      <c r="K1663">
        <f>HYPERLINK("https://raw.githubusercontent.com/marcosmapl/dataset_imigrantes/main/noticias_filtered/a_critica/venezuelanos/2019/02_mar/html/1.73754_1118.html", "HTML")</f>
        <v/>
      </c>
      <c r="L1663">
        <f>HYPERLINK("https://raw.githubusercontent.com/marcosmapl/dataset_imigrantes/main/noticias_filtered/a_critica/venezuelanos/2019/02_mar/txt/1.73754_1118.txt", "TXT")</f>
        <v/>
      </c>
    </row>
    <row r="1664">
      <c r="A1664" s="1" t="n">
        <v>1662</v>
      </c>
      <c r="B1664" t="n">
        <v>2019</v>
      </c>
      <c r="C1664" s="2" t="n">
        <v>43525.8169212963</v>
      </c>
      <c r="D1664" t="inlineStr">
        <is>
          <t>A CRITICA</t>
        </is>
      </c>
      <c r="E1664" t="inlineStr">
        <is>
          <t>VENEZUELANOS</t>
        </is>
      </c>
      <c r="F1664" t="inlineStr"/>
      <c r="G1664" t="inlineStr">
        <is>
          <t>POR ANA CRISTINA CAMPOS - REPÓRTER DA AGÊNCIA BRASIL</t>
        </is>
      </c>
      <c r="H1664" t="inlineStr">
        <is>
          <t>MOURÃO SUGERE DIÁLOGO COM MADURO COMO SAÍDA PACÍFICA PARA A CRISE NA VENEZUELA</t>
        </is>
      </c>
      <c r="I1664" t="inlineStr">
        <is>
          <t>O MINISTRO DAS RELAÇÕES EXTERIORES, ERNESTO ARAÚJO, DISSE QUE O BRASIL ESTÁ PRONTO PARA TRABALHAR PELA LEGITIMAÇÃO INTERNACIONAL DO GOVERNO DE JUAN GUAIDÓ, E PARA MOSTRAR A TOTAL ILEGITIMIDADE DO REGIME DO PRESIDENTE NICOLÁS MADURO</t>
        </is>
      </c>
      <c r="J1664">
        <f>HYPERLINK("https://www.acritica.com/mour-o-sugere-dialogo-com-maduro-como-saida-pacifica-para-a-crise-na-venezuela-1.73744", "URL")</f>
        <v/>
      </c>
      <c r="K1664">
        <f>HYPERLINK("https://raw.githubusercontent.com/marcosmapl/dataset_imigrantes/main/noticias_filtered/a_critica/venezuelanos/2019/02_mar/html/1.73744_378.html", "HTML")</f>
        <v/>
      </c>
      <c r="L1664">
        <f>HYPERLINK("https://raw.githubusercontent.com/marcosmapl/dataset_imigrantes/main/noticias_filtered/a_critica/venezuelanos/2019/02_mar/txt/1.73744_378.txt", "TXT")</f>
        <v/>
      </c>
    </row>
    <row r="1665">
      <c r="A1665" s="1" t="n">
        <v>1663</v>
      </c>
      <c r="B1665" t="n">
        <v>2019</v>
      </c>
      <c r="C1665" s="2" t="n">
        <v>43525.64538951389</v>
      </c>
      <c r="D1665" t="inlineStr">
        <is>
          <t>G1</t>
        </is>
      </c>
      <c r="E1665" t="inlineStr">
        <is>
          <t>VENEZUELANOS</t>
        </is>
      </c>
      <c r="F1665" t="inlineStr">
        <is>
          <t>RORAIMA</t>
        </is>
      </c>
      <c r="G1665" t="inlineStr">
        <is>
          <t>EMILY COSTA, G1 RR — BOA VISTA</t>
        </is>
      </c>
      <c r="H1665" t="inlineStr">
        <is>
          <t>FRONTEIRA FECHADA AMEAÇA INÍCIO DAS AULAS PARA CRIANÇAS VENEZUELANAS QUE ESTUDAM EM PACARAIMA, RR</t>
        </is>
      </c>
      <c r="I1665" t="inlineStr">
        <is>
          <t>BLOQUEIO NA FRONTEIRA IMPEDE PASSAGEM DE PESSOAS E VEÍCULOS COMUNS PELA BR-174, E QUEM QUER ENTRAR OU SAIR DO PAÍS PRECISA SE ARRISCAR POR ROTAS CLANDESTINAS.</t>
        </is>
      </c>
      <c r="J1665">
        <f>HYPERLINK("https://g1.globo.com/rr/roraima/noticia/2019/03/01/fronteira-fechada-ameaca-inicio-das-aulas-para-criancas-venezuelanas-que-estudam-em-pacaraima-rr.ghtml", "URL")</f>
        <v/>
      </c>
      <c r="K1665">
        <f>HYPERLINK("https://raw.githubusercontent.com/marcosmapl/dataset_imigrantes/main/noticias_filtered/g1/venezuelanos/2019/02_mar/html/g1_98f0db42-230a-11ed-b24f-6dbe51e79fca_2514.html", "HTML")</f>
        <v/>
      </c>
      <c r="L1665">
        <f>HYPERLINK("https://raw.githubusercontent.com/marcosmapl/dataset_imigrantes/main/noticias_filtered/g1/venezuelanos/2019/02_mar/txt/g1_98f0db42-230a-11ed-b24f-6dbe51e79fca_2514.txt", "TXT")</f>
        <v/>
      </c>
    </row>
    <row r="1666">
      <c r="A1666" s="1" t="n">
        <v>1664</v>
      </c>
      <c r="B1666" t="n">
        <v>2019</v>
      </c>
      <c r="C1666" s="2" t="n">
        <v>43525.51168981481</v>
      </c>
      <c r="D1666" t="inlineStr">
        <is>
          <t>A CRITICA</t>
        </is>
      </c>
      <c r="E1666" t="inlineStr">
        <is>
          <t>VENEZUELANOS</t>
        </is>
      </c>
      <c r="F1666" t="inlineStr"/>
      <c r="G1666" t="inlineStr">
        <is>
          <t>PEDRO RAFAEL VILELA (AGÊNCIA BRASIL)</t>
        </is>
      </c>
      <c r="H1666" t="inlineStr">
        <is>
          <t>GUAIDÓ PRETENDE ANISTIAR MILITARES E CIVIS LEAIS AO GOVERNO DE NICOLÁS MADURO</t>
        </is>
      </c>
      <c r="I1666" t="inlineStr">
        <is>
          <t>O AUTOPROCLAMADO PRESIDENTE DA VENEZUELA INFORMOU QUE A MEDIDA DEVERÁ SE ESTENDER PARA OS OFICIAIS QUE ESTÃO NO COMANDO NO PAÍS</t>
        </is>
      </c>
      <c r="J1666">
        <f>HYPERLINK("https://www.acritica.com/guaido-pretende-anistiar-militares-e-civis-leais-ao-governo-de-nicolas-maduro-1.73784", "URL")</f>
        <v/>
      </c>
      <c r="K1666">
        <f>HYPERLINK("https://raw.githubusercontent.com/marcosmapl/dataset_imigrantes/main/noticias_filtered/a_critica/venezuelanos/2019/02_mar/html/1.73784_1355.html", "HTML")</f>
        <v/>
      </c>
      <c r="L1666">
        <f>HYPERLINK("https://raw.githubusercontent.com/marcosmapl/dataset_imigrantes/main/noticias_filtered/a_critica/venezuelanos/2019/02_mar/txt/1.73784_1355.txt", "TXT")</f>
        <v/>
      </c>
    </row>
    <row r="1667">
      <c r="A1667" s="1" t="n">
        <v>1665</v>
      </c>
      <c r="B1667" t="n">
        <v>2019</v>
      </c>
      <c r="C1667" s="2" t="n">
        <v>43525.01727104167</v>
      </c>
      <c r="D1667" t="inlineStr">
        <is>
          <t>G1</t>
        </is>
      </c>
      <c r="E1667" t="inlineStr">
        <is>
          <t>VENEZUELANOS</t>
        </is>
      </c>
      <c r="F1667" t="inlineStr">
        <is>
          <t>JORNAL NACIONAL</t>
        </is>
      </c>
      <c r="G1667" t="inlineStr"/>
      <c r="H1667" t="inlineStr">
        <is>
          <t>GOVERNO ACELERA OBRAS PARA LIVRAR RORAIMA DA DEPENDÊNCIA DE ELETRICIDADE VENEZUELANA</t>
        </is>
      </c>
      <c r="I1667" t="inlineStr">
        <is>
          <t>LINHÃO DARÁ AUTONOMIA A RORAIMA. HOJE, 80% DA ENERGIA CONSUMIDA NO ESTADO VÊM DA VENEZUELA.</t>
        </is>
      </c>
      <c r="J1667">
        <f>HYPERLINK("https://g1.globo.com/jornal-nacional/noticia/2019/02/28/governo-acelera-obras-para-livrar-roraima-da-dependencia-de-eletricidade-venezuelana.ghtml", "URL")</f>
        <v/>
      </c>
      <c r="K1667">
        <f>HYPERLINK("https://raw.githubusercontent.com/marcosmapl/dataset_imigrantes/main/noticias_filtered/g1/venezuelanos/2019/02_mar/html/g1_8e29b0bc-2328-11ed-b24f-6dbe51e79fca_4085.html", "HTML")</f>
        <v/>
      </c>
      <c r="L1667">
        <f>HYPERLINK("https://raw.githubusercontent.com/marcosmapl/dataset_imigrantes/main/noticias_filtered/g1/venezuelanos/2019/02_mar/txt/g1_8e29b0bc-2328-11ed-b24f-6dbe51e79fca_4085.txt", "TXT")</f>
        <v/>
      </c>
    </row>
    <row r="1668">
      <c r="A1668" s="1" t="n">
        <v>1666</v>
      </c>
      <c r="B1668" t="n">
        <v>2019</v>
      </c>
      <c r="C1668" s="2" t="n">
        <v>43524.63993055555</v>
      </c>
      <c r="D1668" t="inlineStr">
        <is>
          <t>A CRITICA</t>
        </is>
      </c>
      <c r="E1668" t="inlineStr">
        <is>
          <t>VENEZUELANOS</t>
        </is>
      </c>
      <c r="F1668" t="inlineStr"/>
      <c r="G1668" t="inlineStr">
        <is>
          <t>AGÊNCIA BRASIL</t>
        </is>
      </c>
      <c r="H1668" t="inlineStr">
        <is>
          <t>GUAIDÓ DIZ QUE VISITA AO BRASIL BUSCA RESTABELECER DEMOCRACIA NA VENEZUELA</t>
        </is>
      </c>
      <c r="I1668" t="inlineStr">
        <is>
          <t>AUTOPROCLAMADO PRESIDENTE DA VENEZUELA TEM ENCONTRO COM O PRESIDENTE JAIR BOLSONARO, EM BRASÍLIA. ANTES ELE SE REUNIU COM EMBAIXADORES DE VÁRIOS PAÍSES</t>
        </is>
      </c>
      <c r="J1668">
        <f>HYPERLINK("https://www.acritica.com/guaido-diz-que-visita-ao-brasil-busca-restabelecer-democracia-na-venezuela-1.73824", "URL")</f>
        <v/>
      </c>
      <c r="K1668">
        <f>HYPERLINK("https://raw.githubusercontent.com/marcosmapl/dataset_imigrantes/main/noticias_filtered/a_critica/venezuelanos/2019/01_fev/html/1.73824_614.html", "HTML")</f>
        <v/>
      </c>
      <c r="L1668">
        <f>HYPERLINK("https://raw.githubusercontent.com/marcosmapl/dataset_imigrantes/main/noticias_filtered/a_critica/venezuelanos/2019/01_fev/txt/1.73824_614.txt", "TXT")</f>
        <v/>
      </c>
    </row>
    <row r="1669">
      <c r="A1669" s="1" t="n">
        <v>1667</v>
      </c>
      <c r="B1669" t="n">
        <v>2019</v>
      </c>
      <c r="C1669" s="2" t="n">
        <v>43523.90138888889</v>
      </c>
      <c r="D1669" t="inlineStr">
        <is>
          <t>A CRITICA</t>
        </is>
      </c>
      <c r="E1669" t="inlineStr">
        <is>
          <t>VENEZUELANOS</t>
        </is>
      </c>
      <c r="F1669" t="inlineStr"/>
      <c r="G1669" t="inlineStr">
        <is>
          <t>POR MARCELO BRANDÃO - REPÓRTER DA AGÊNCIA BRASIL</t>
        </is>
      </c>
      <c r="H1669" t="inlineStr">
        <is>
          <t>GUAIDÓ DEVE CHEGAR AO BRASIL POR VOLTA DA MEIA-NOITE PARA REUNIÃO COM BOLSONARO</t>
        </is>
      </c>
      <c r="I1669" t="inlineStr">
        <is>
          <t>HÁ DOIS DIAS, O VICE-PRESIDENTE DA REPÚBLICA, HAMILTON MOURÃO, CONVERSOU COM O AUTOPROCLAMADO PRESIDENTE INTERINO DA VENEZUELA, EM BOGOTÁ, NA COLÔMBIA</t>
        </is>
      </c>
      <c r="J1669">
        <f>HYPERLINK("https://www.acritica.com/guaido-deve-chegar-ao-brasil-por-volta-da-meia-noite-para-reuni-o-com-bolsonaro-1.73872", "URL")</f>
        <v/>
      </c>
      <c r="K1669">
        <f>HYPERLINK("https://raw.githubusercontent.com/marcosmapl/dataset_imigrantes/main/noticias_filtered/a_critica/venezuelanos/2019/01_fev/html/1.73872_722.html", "HTML")</f>
        <v/>
      </c>
      <c r="L1669">
        <f>HYPERLINK("https://raw.githubusercontent.com/marcosmapl/dataset_imigrantes/main/noticias_filtered/a_critica/venezuelanos/2019/01_fev/txt/1.73872_722.txt", "TXT")</f>
        <v/>
      </c>
    </row>
    <row r="1670">
      <c r="A1670" s="1" t="n">
        <v>1668</v>
      </c>
      <c r="B1670" t="n">
        <v>2019</v>
      </c>
      <c r="C1670" s="2" t="n">
        <v>43523.81665543981</v>
      </c>
      <c r="D1670" t="inlineStr">
        <is>
          <t>G1</t>
        </is>
      </c>
      <c r="E1670" t="inlineStr">
        <is>
          <t>VENEZUELANOS</t>
        </is>
      </c>
      <c r="F1670" t="inlineStr">
        <is>
          <t>RORAIMA</t>
        </is>
      </c>
      <c r="G1670" t="inlineStr">
        <is>
          <t>ALAN CHAVES E JACKSON FÉLIX, G1 RR — PACARAIMA</t>
        </is>
      </c>
      <c r="H1670" t="inlineStr">
        <is>
          <t>MAIS DE 20 CAMINHONEIROS ENTRAM NO BRASIL APÓS NEGOCIAÇÃO COM GOVERNO VENEZUELANO</t>
        </is>
      </c>
      <c r="I1670" t="inlineStr">
        <is>
          <t>VEÍCULOS ESTAVAM PRÓXIMOS À LINHA DE FRONTEIRA ENTRE OS DOIS PAÍSES. NEGOCIAÇÃO FOI FEITA COM O GOVERNADOR DO ESTADO VENEZUELANO DE BOLÍVAR.</t>
        </is>
      </c>
      <c r="J1670">
        <f>HYPERLINK("https://g1.globo.com/rr/roraima/noticia/2019/02/27/mais-de-20-caminhoneiros-entram-no-brasil-apos-negociacao-com-governo-venezuelano.ghtml", "URL")</f>
        <v/>
      </c>
      <c r="K1670">
        <f>HYPERLINK("https://raw.githubusercontent.com/marcosmapl/dataset_imigrantes/main/noticias_filtered/g1/venezuelanos/2019/01_fev/html/g1_87d9245a-2322-11ed-b24f-6dbe51e79fca_3756.html", "HTML")</f>
        <v/>
      </c>
      <c r="L1670">
        <f>HYPERLINK("https://raw.githubusercontent.com/marcosmapl/dataset_imigrantes/main/noticias_filtered/g1/venezuelanos/2019/01_fev/txt/g1_87d9245a-2322-11ed-b24f-6dbe51e79fca_3756.txt", "TXT")</f>
        <v/>
      </c>
    </row>
    <row r="1671">
      <c r="A1671" s="1" t="n">
        <v>1669</v>
      </c>
      <c r="B1671" t="n">
        <v>2019</v>
      </c>
      <c r="C1671" s="2" t="n">
        <v>43523.79951908565</v>
      </c>
      <c r="D1671" t="inlineStr">
        <is>
          <t>G1</t>
        </is>
      </c>
      <c r="E1671" t="inlineStr">
        <is>
          <t>VENEZUELANOS</t>
        </is>
      </c>
      <c r="F1671" t="inlineStr">
        <is>
          <t>POLÍTICA</t>
        </is>
      </c>
      <c r="G1671" t="inlineStr">
        <is>
          <t>DELIS ORTIZ E VLADIMIR NETTO, TV GLOBO — BRASÍLIA</t>
        </is>
      </c>
      <c r="H1671" t="inlineStr">
        <is>
          <t>LÍDER OPOSICIONISTA VENEZUELANO JUAN GUAIDÓ TERÁ ENCONTRO COM BOLSONARO NESTA QUINTA-FEIRA</t>
        </is>
      </c>
      <c r="I1671" t="inlineStr">
        <is>
          <t>PRESIDENTE AUTODECLARADO DA VENEZUELA E LÍDER DA OPOSIÇÃO A NICOLÁS MADURO CHEGARÁ EM AVIÃO DA FORÇA AÉREA DA COLÔMBIA. MADURO MANDOU FECHAR FRONTEIRA COM O BRASIL.</t>
        </is>
      </c>
      <c r="J1671">
        <f>HYPERLINK("https://g1.globo.com/politica/noticia/2019/02/27/guaido-visitara-brasilia-e-tera-encontro-com-bolsonaro-diz-mourao.ghtml", "URL")</f>
        <v/>
      </c>
      <c r="K1671">
        <f>HYPERLINK("https://raw.githubusercontent.com/marcosmapl/dataset_imigrantes/main/noticias_filtered/g1/venezuelanos/2019/01_fev/html/g1_5c645cc8-2317-11ed-b24f-6dbe51e79fca_3203.html", "HTML")</f>
        <v/>
      </c>
      <c r="L1671">
        <f>HYPERLINK("https://raw.githubusercontent.com/marcosmapl/dataset_imigrantes/main/noticias_filtered/g1/venezuelanos/2019/01_fev/txt/g1_5c645cc8-2317-11ed-b24f-6dbe51e79fca_3203.txt", "TXT")</f>
        <v/>
      </c>
    </row>
    <row r="1672">
      <c r="A1672" s="1" t="n">
        <v>1670</v>
      </c>
      <c r="B1672" t="n">
        <v>2019</v>
      </c>
      <c r="C1672" s="2" t="n">
        <v>43523.63125</v>
      </c>
      <c r="D1672" t="inlineStr">
        <is>
          <t>A CRITICA</t>
        </is>
      </c>
      <c r="E1672" t="inlineStr">
        <is>
          <t>VENEZUELANOS</t>
        </is>
      </c>
      <c r="F1672" t="inlineStr">
        <is>
          <t>MANAUS</t>
        </is>
      </c>
      <c r="G1672" t="inlineStr">
        <is>
          <t>ACRÍTICA.COM</t>
        </is>
      </c>
      <c r="H1672" t="inlineStr">
        <is>
          <t>EX-CANDIDATA A MISS AMAZONAS ESFAQUEADA NO CARNAVAL SEGUE EM ESTADO GRAVE</t>
        </is>
      </c>
      <c r="I1672" t="inlineStr">
        <is>
          <t>NÃO HOUVE MELHORA NO QUADRO DE SAÚDE DA MODELO MABEL CRISTINA DOS SANTOS, DE 25 ANOS. O AMIGO DELA TAMBÉM CONTINUA INTERNADO, MAS ESTÁVEL</t>
        </is>
      </c>
      <c r="J1672">
        <f>HYPERLINK("https://www.acritica.com/manaus/ex-candidata-a-miss-amazonas-esfaqueada-no-carnaval-segue-em-estado-grave-1.73893", "URL")</f>
        <v/>
      </c>
      <c r="K1672">
        <f>HYPERLINK("https://raw.githubusercontent.com/marcosmapl/dataset_imigrantes/main/noticias_filtered/a_critica/venezuelanos/2019/01_fev/html/1.73893_189.html", "HTML")</f>
        <v/>
      </c>
      <c r="L1672">
        <f>HYPERLINK("https://raw.githubusercontent.com/marcosmapl/dataset_imigrantes/main/noticias_filtered/a_critica/venezuelanos/2019/01_fev/txt/1.73893_189.txt", "TXT")</f>
        <v/>
      </c>
    </row>
    <row r="1673">
      <c r="A1673" s="1" t="n">
        <v>1671</v>
      </c>
      <c r="B1673" t="n">
        <v>2019</v>
      </c>
      <c r="C1673" s="2" t="n">
        <v>43523.58335842592</v>
      </c>
      <c r="D1673" t="inlineStr">
        <is>
          <t>G1</t>
        </is>
      </c>
      <c r="E1673" t="inlineStr">
        <is>
          <t>VENEZUELANOS</t>
        </is>
      </c>
      <c r="F1673" t="inlineStr">
        <is>
          <t>RORAIMA</t>
        </is>
      </c>
      <c r="G1673" t="inlineStr">
        <is>
          <t>JACKSON FÉLIX, G1 RR — PACARAIMA</t>
        </is>
      </c>
      <c r="H1673" t="inlineStr">
        <is>
          <t>VENEZUELANA DE 83 ANOS PÓS-OPERADA ENTRA NO BRASIL POR ROTA CLANDESTINA E PEDE AJUDA; FRONTEIRA SEGUE FECHADA PELO 6º DIA</t>
        </is>
      </c>
      <c r="I1673" t="inlineStr">
        <is>
          <t>DUAS AMBULÂNCIAS ATRAVESSARAM A FRONTEIRA NAS ÚLTIMAS 24H. MOVIMENTAÇÃO SEGUE TRANQUILA EM PACARAIMA E SEM NOVOS CONFRONTOS ENTRE VENEZUELANOS E MILITARES DE MADURO.</t>
        </is>
      </c>
      <c r="J1673">
        <f>HYPERLINK("https://g1.globo.com/rr/roraima/noticia/2019/02/27/venezuelana-de-83-anos-pos-operada-entra-no-brasil-por-rota-clandestina-e-pede-ajuda-fronteira-segue-fechada-pelo-6o-dia.ghtml", "URL")</f>
        <v/>
      </c>
      <c r="K1673">
        <f>HYPERLINK("https://raw.githubusercontent.com/marcosmapl/dataset_imigrantes/main/noticias_filtered/g1/venezuelanos/2019/01_fev/html/g1_3174db00-2308-11ed-b24f-6dbe51e79fca_2371.html", "HTML")</f>
        <v/>
      </c>
      <c r="L1673">
        <f>HYPERLINK("https://raw.githubusercontent.com/marcosmapl/dataset_imigrantes/main/noticias_filtered/g1/venezuelanos/2019/01_fev/txt/g1_3174db00-2308-11ed-b24f-6dbe51e79fca_2371.txt", "TXT")</f>
        <v/>
      </c>
    </row>
    <row r="1674">
      <c r="A1674" s="1" t="n">
        <v>1672</v>
      </c>
      <c r="B1674" t="n">
        <v>2019</v>
      </c>
      <c r="C1674" s="2" t="n">
        <v>43522.94482638889</v>
      </c>
      <c r="D1674" t="inlineStr">
        <is>
          <t>A CRITICA</t>
        </is>
      </c>
      <c r="E1674" t="inlineStr">
        <is>
          <t>VENEZUELANOS</t>
        </is>
      </c>
      <c r="F1674" t="inlineStr"/>
      <c r="G1674" t="inlineStr">
        <is>
          <t>AGÊNCIA BRASIL</t>
        </is>
      </c>
      <c r="H1674" t="inlineStr">
        <is>
          <t>BRASIL DEFINE COM VENEZUELA RETIRADA DE BRASILEIROS DA FRONTEIRA APÓS NEGOCIAÇÃO</t>
        </is>
      </c>
      <c r="I1674" t="inlineStr">
        <is>
          <t>GRUPO REÚNE CERCA DE 100 PESSOAS ENTRE RESIDENTES E TURISTAS. A FRONTEIRA ESTÁ FECHADA DESDE O ÚLTIMO DIA 22</t>
        </is>
      </c>
      <c r="J1674">
        <f>HYPERLINK("https://www.acritica.com/brasil-define-com-venezuela-retirada-de-brasileiros-da-fronteira-apos-negociac-o-1.73925", "URL")</f>
        <v/>
      </c>
      <c r="K1674">
        <f>HYPERLINK("https://raw.githubusercontent.com/marcosmapl/dataset_imigrantes/main/noticias_filtered/a_critica/venezuelanos/2019/01_fev/html/1.73925_109.html", "HTML")</f>
        <v/>
      </c>
      <c r="L1674">
        <f>HYPERLINK("https://raw.githubusercontent.com/marcosmapl/dataset_imigrantes/main/noticias_filtered/a_critica/venezuelanos/2019/01_fev/txt/1.73925_109.txt", "TXT")</f>
        <v/>
      </c>
    </row>
    <row r="1675">
      <c r="A1675" s="1" t="n">
        <v>1673</v>
      </c>
      <c r="B1675" t="n">
        <v>2019</v>
      </c>
      <c r="C1675" s="2" t="n">
        <v>43522.70453103009</v>
      </c>
      <c r="D1675" t="inlineStr">
        <is>
          <t>G1</t>
        </is>
      </c>
      <c r="E1675" t="inlineStr">
        <is>
          <t>VENEZUELANOS</t>
        </is>
      </c>
      <c r="F1675" t="inlineStr">
        <is>
          <t>MUNDO</t>
        </is>
      </c>
      <c r="G1675" t="inlineStr">
        <is>
          <t>G1</t>
        </is>
      </c>
      <c r="H1675" t="inlineStr">
        <is>
          <t>JORNALISTAS SÃO DEPORTADOS APÓS FICAREM DETIDOS NA SEDE DO GOVERNO VENEZUELANO</t>
        </is>
      </c>
      <c r="I1675" t="inlineStr">
        <is>
          <t>EQUIPE TEVE CÂMERAS E MATERIAL GRAVADO CONFISCADO APÓS MADURO SE IRRITAR AO SER QUESTIONADO SOBRE A FALTA DE DEMOCRACIA NA VENEZUELA E VER VÍDEO DE HOMENS COMENDO LIXO EM CARACAS. AO REGISTRAR MOVIMENTAÇÃO NO HOTEL, OUTRO JORNALISTA FOI LEVADO POR HOMENS ARMADOS E PASSOU SETE HORAS INCOMUNICÁVEL.</t>
        </is>
      </c>
      <c r="J1675">
        <f>HYPERLINK("https://g1.globo.com/mundo/noticia/2019/02/26/jornalistas-sao-deportados-apos-ficarem-detidos-na-sede-do-governo-venezuelano.ghtml", "URL")</f>
        <v/>
      </c>
      <c r="K1675">
        <f>HYPERLINK("https://raw.githubusercontent.com/marcosmapl/dataset_imigrantes/main/noticias_filtered/g1/venezuelanos/2019/01_fev/html/g1_f5f4a8f8-2307-11ed-b24f-6dbe51e79fca_2355.html", "HTML")</f>
        <v/>
      </c>
      <c r="L1675">
        <f>HYPERLINK("https://raw.githubusercontent.com/marcosmapl/dataset_imigrantes/main/noticias_filtered/g1/venezuelanos/2019/01_fev/txt/g1_f5f4a8f8-2307-11ed-b24f-6dbe51e79fca_2355.txt", "TXT")</f>
        <v/>
      </c>
    </row>
    <row r="1676">
      <c r="A1676" s="1" t="n">
        <v>1674</v>
      </c>
      <c r="B1676" t="n">
        <v>2019</v>
      </c>
      <c r="C1676" s="2" t="n">
        <v>43522.54901365741</v>
      </c>
      <c r="D1676" t="inlineStr">
        <is>
          <t>G1</t>
        </is>
      </c>
      <c r="E1676" t="inlineStr">
        <is>
          <t>VENEZUELANOS</t>
        </is>
      </c>
      <c r="F1676" t="inlineStr">
        <is>
          <t>MUNDO</t>
        </is>
      </c>
      <c r="G1676" t="inlineStr">
        <is>
          <t>G1</t>
        </is>
      </c>
      <c r="H1676" t="inlineStr">
        <is>
          <t>MAIS DE 70 BRASILEIROS ESTÃO RETIDOS EM SANTA ELENA DE UAIRÉN E ESPERAM AUTORIZAÇÃO PARA VOLTAR AO BRASIL</t>
        </is>
      </c>
      <c r="I1676" t="inlineStr">
        <is>
          <t>ITAMARATY ESTÁ EM CONTATO COM AS AUTORIDADES VENEZUELANAS. FRONTEIRA ENTRE BRASIL E VENEZUELA SEGUE FECHADA PELO 5º DIA SEGUIDO.</t>
        </is>
      </c>
      <c r="J1676">
        <f>HYPERLINK("https://g1.globo.com/mundo/noticia/2019/02/26/mais-de-70-brasileiros-estao-retidos-em-santa-elena-de-uairen-e-esperam-autorizacao-para-voltar-ao-brasil.ghtml", "URL")</f>
        <v/>
      </c>
      <c r="K1676">
        <f>HYPERLINK("https://raw.githubusercontent.com/marcosmapl/dataset_imigrantes/main/noticias_filtered/g1/venezuelanos/2019/01_fev/html/g1_1af53d0e-230b-11ed-b24f-6dbe51e79fca_2544.html", "HTML")</f>
        <v/>
      </c>
      <c r="L1676">
        <f>HYPERLINK("https://raw.githubusercontent.com/marcosmapl/dataset_imigrantes/main/noticias_filtered/g1/venezuelanos/2019/01_fev/txt/g1_1af53d0e-230b-11ed-b24f-6dbe51e79fca_2544.txt", "TXT")</f>
        <v/>
      </c>
    </row>
    <row r="1677">
      <c r="A1677" s="1" t="n">
        <v>1675</v>
      </c>
      <c r="B1677" t="n">
        <v>2019</v>
      </c>
      <c r="C1677" s="2" t="n">
        <v>43522.43068431713</v>
      </c>
      <c r="D1677" t="inlineStr">
        <is>
          <t>G1</t>
        </is>
      </c>
      <c r="E1677" t="inlineStr">
        <is>
          <t>VENEZUELANOS</t>
        </is>
      </c>
      <c r="F1677" t="inlineStr">
        <is>
          <t>BAURU E MARÍLIA</t>
        </is>
      </c>
      <c r="G1677" t="inlineStr">
        <is>
          <t>G1 BAURU E MARÍLIA</t>
        </is>
      </c>
      <c r="H1677" t="inlineStr">
        <is>
          <t>VENEZUELANA NO BRASIL AGUARDA CHEGADA DA FILHA QUE DEIXOU O PAÍS UM DIA ANTES DO BLOQUEIO DA FRONTEIRA</t>
        </is>
      </c>
      <c r="I1677" t="inlineStr">
        <is>
          <t>TÂNEA NORIEGA ESTÁ EM BAURU, NO INTERIOR DE SP, HÁ DOIS ANOS E CONTA QUE FAMILIARES VIVEM COM MUITO POUCO NA VENEZUELA; MÉDICO DIZ QUE PAÍS ESTÁ UM CAOS: ‘ESCASSEZ DE PRODUTOS, INSEGURANÇA’.</t>
        </is>
      </c>
      <c r="J1677">
        <f>HYPERLINK("https://g1.globo.com/sp/bauru-marilia/noticia/2019/02/26/venezuelana-no-brasil-aguarda-chegada-da-filha-que-deixou-o-pais-um-dia-antes-do-bloqueio-da-fronteira.ghtml", "URL")</f>
        <v/>
      </c>
      <c r="K1677">
        <f>HYPERLINK("https://raw.githubusercontent.com/marcosmapl/dataset_imigrantes/main/noticias_filtered/g1/venezuelanos/2019/01_fev/html/g1_8447cd3c-2322-11ed-b24f-6dbe51e79fca_3755.html", "HTML")</f>
        <v/>
      </c>
      <c r="L1677">
        <f>HYPERLINK("https://raw.githubusercontent.com/marcosmapl/dataset_imigrantes/main/noticias_filtered/g1/venezuelanos/2019/01_fev/txt/g1_8447cd3c-2322-11ed-b24f-6dbe51e79fca_3755.txt", "TXT")</f>
        <v/>
      </c>
    </row>
    <row r="1678">
      <c r="A1678" s="1" t="n">
        <v>1676</v>
      </c>
      <c r="B1678" t="n">
        <v>2019</v>
      </c>
      <c r="C1678" s="2" t="n">
        <v>43522.05244583333</v>
      </c>
      <c r="D1678" t="inlineStr">
        <is>
          <t>G1</t>
        </is>
      </c>
      <c r="E1678" t="inlineStr">
        <is>
          <t>VENEZUELANOS</t>
        </is>
      </c>
      <c r="F1678" t="inlineStr">
        <is>
          <t>MUNDO</t>
        </is>
      </c>
      <c r="G1678" t="inlineStr">
        <is>
          <t>G1</t>
        </is>
      </c>
      <c r="H1678" t="inlineStr">
        <is>
          <t>JORNALISTAS SÃO RETIDOS EM PALÁCIO PRESIDENCIAL VENEZUELANO POR ORDEM DE MADURO, DIZ EMISSORA</t>
        </is>
      </c>
      <c r="I1678" t="inlineStr">
        <is>
          <t>PRESIDENTE NÃO GOSTOU DO TEOR DE PERGUNTAS FEITAS PELO JORNALISTA JORGE RAMOS, DA UNIVISION NOTICIAS. ELE INTERROMPEU GRAVAÇÃO, MANDOU CONFISCAR EQUIPAMENTO E DETER EQUIPE.</t>
        </is>
      </c>
      <c r="J1678">
        <f>HYPERLINK("https://g1.globo.com/mundo/noticia/2019/02/25/jornalistas-sao-detidos-em-palacio-presidencial-venezuelano-por-ordem-de-maduro-diz-emissora.ghtml", "URL")</f>
        <v/>
      </c>
      <c r="K1678">
        <f>HYPERLINK("https://raw.githubusercontent.com/marcosmapl/dataset_imigrantes/main/noticias_filtered/g1/venezuelanos/2019/01_fev/html/g1_30aeb688-2307-11ed-b24f-6dbe51e79fca_2302.html", "HTML")</f>
        <v/>
      </c>
      <c r="L1678">
        <f>HYPERLINK("https://raw.githubusercontent.com/marcosmapl/dataset_imigrantes/main/noticias_filtered/g1/venezuelanos/2019/01_fev/txt/g1_30aeb688-2307-11ed-b24f-6dbe51e79fca_2302.txt", "TXT")</f>
        <v/>
      </c>
    </row>
    <row r="1679">
      <c r="A1679" s="1" t="n">
        <v>1677</v>
      </c>
      <c r="B1679" t="n">
        <v>2019</v>
      </c>
      <c r="C1679" s="2" t="n">
        <v>43521.82623355324</v>
      </c>
      <c r="D1679" t="inlineStr">
        <is>
          <t>G1</t>
        </is>
      </c>
      <c r="E1679" t="inlineStr">
        <is>
          <t>VENEZUELANOS</t>
        </is>
      </c>
      <c r="F1679" t="inlineStr">
        <is>
          <t>MUNDO</t>
        </is>
      </c>
      <c r="G1679" t="inlineStr">
        <is>
          <t>G1</t>
        </is>
      </c>
      <c r="H1679" t="inlineStr">
        <is>
          <t>MILITAR VENEZUELANO DESERTA COM CACHORRO ANTIDROGAS PARA A COLÔMBIA</t>
        </is>
      </c>
      <c r="I1679" t="inlineStr">
        <is>
          <t>MILITAR FUGIU COM CÃO USADO EM OPERAÇÕES ANTIDROGAS: 'É COMO MEU FILHO'.</t>
        </is>
      </c>
      <c r="J1679">
        <f>HYPERLINK("https://g1.globo.com/mundo/noticia/2019/02/25/cachorro-antidrogas-da-guarda-venezuelana-deserta-com-o-dono-para-a-colombia.ghtml", "URL")</f>
        <v/>
      </c>
      <c r="K1679">
        <f>HYPERLINK("https://raw.githubusercontent.com/marcosmapl/dataset_imigrantes/main/noticias_filtered/g1/venezuelanos/2019/01_fev/html/g1_96efd5d8-2322-11ed-b24f-6dbe51e79fca_3759.html", "HTML")</f>
        <v/>
      </c>
      <c r="L1679">
        <f>HYPERLINK("https://raw.githubusercontent.com/marcosmapl/dataset_imigrantes/main/noticias_filtered/g1/venezuelanos/2019/01_fev/txt/g1_96efd5d8-2322-11ed-b24f-6dbe51e79fca_3759.txt", "TXT")</f>
        <v/>
      </c>
    </row>
    <row r="1680">
      <c r="A1680" s="1" t="n">
        <v>1678</v>
      </c>
      <c r="B1680" t="n">
        <v>2019</v>
      </c>
      <c r="C1680" s="2" t="n">
        <v>43521.72152777778</v>
      </c>
      <c r="D1680" t="inlineStr">
        <is>
          <t>PORTAL AMAZONIA</t>
        </is>
      </c>
      <c r="E1680" t="inlineStr">
        <is>
          <t>VENEZUELANOS</t>
        </is>
      </c>
      <c r="F1680" t="inlineStr">
        <is>
          <t>CIDADES</t>
        </is>
      </c>
      <c r="G1680" t="inlineStr">
        <is>
          <t>REDAÇÃO</t>
        </is>
      </c>
      <c r="H1680" t="inlineStr">
        <is>
          <t>RORAIMA DECRETA ESTADO DE CALAMIDADE PÚBLICA NA SAÚDE APÓS CONFLITOS NA FRONTEIRA</t>
        </is>
      </c>
      <c r="I1680" t="inlineStr">
        <is>
          <t>O GOVERNADOR DE RORAIMA, ANTONIO DENARIUM, ASSINOU DECRETO DE CALAMIDADE PÚBLICA NA SAÚDE, A SER PUBLICADO NESTA SEGUNDA-FEIRA (25) NO DIÁRIO OFICIAL DO ESTADO, SEGUNDO A ASSESSORIA DE IMPRENSA DO GOVERNO.A DECISÃO FOI MOTIVADA PELO AGRAVAMENTO DOS C</t>
        </is>
      </c>
      <c r="J1680">
        <f>HYPERLINK("https://portalamazonia.com/noticias/cidades/roraima-decreta-estado-de-calamidade-publica-na-saude-apos-conflitos-na-fronteira", "URL")</f>
        <v/>
      </c>
      <c r="K1680">
        <f>HYPERLINK("https://raw.githubusercontent.com/marcosmapl/dataset_imigrantes/main/noticias_filtered/portal_amazonia/venezuelanos/2019/01_fev/html/17147.17147_1496.html", "HTML")</f>
        <v/>
      </c>
      <c r="L1680">
        <f>HYPERLINK("https://raw.githubusercontent.com/marcosmapl/dataset_imigrantes/main/noticias_filtered/portal_amazonia/venezuelanos/2019/01_fev/txt/17147.17147_1496.txt", "TXT")</f>
        <v/>
      </c>
    </row>
    <row r="1681">
      <c r="A1681" s="1" t="n">
        <v>1679</v>
      </c>
      <c r="B1681" t="n">
        <v>2019</v>
      </c>
      <c r="C1681" s="2" t="n">
        <v>43521.64770040509</v>
      </c>
      <c r="D1681" t="inlineStr">
        <is>
          <t>G1</t>
        </is>
      </c>
      <c r="E1681" t="inlineStr">
        <is>
          <t>VENEZUELANOS</t>
        </is>
      </c>
      <c r="F1681" t="inlineStr">
        <is>
          <t>PARÁ</t>
        </is>
      </c>
      <c r="G1681" t="inlineStr">
        <is>
          <t>G1 PA — BELÉM</t>
        </is>
      </c>
      <c r="H1681" t="inlineStr">
        <is>
          <t>CRIANÇA VENEZUELANA WARAO MORRE  DESNUTRIDA E COM PNEUMONIA, EM BELÉM</t>
        </is>
      </c>
      <c r="I1681" t="inlineStr">
        <is>
          <t>A CRIANÇA ERA DE UM GRUPO QUE CHEGOU NA CAPITAL PARAENSE HÁ TRÊS SEMANAS, E VIVIA EM UM  GALPÃO NO DISTRITO DE ICOARACI.</t>
        </is>
      </c>
      <c r="J1681">
        <f>HYPERLINK("https://g1.globo.com/pa/para/noticia/2019/02/25/crianca-venezuelana-warao-morre-desnutrida-e-com-pneumonia-em-belem.ghtml", "URL")</f>
        <v/>
      </c>
      <c r="K1681">
        <f>HYPERLINK("https://raw.githubusercontent.com/marcosmapl/dataset_imigrantes/main/noticias_filtered/g1/venezuelanos/2019/01_fev/html/g1_525a8f1c-2309-11ed-b24f-6dbe51e79fca_2438.html", "HTML")</f>
        <v/>
      </c>
      <c r="L1681">
        <f>HYPERLINK("https://raw.githubusercontent.com/marcosmapl/dataset_imigrantes/main/noticias_filtered/g1/venezuelanos/2019/01_fev/txt/g1_525a8f1c-2309-11ed-b24f-6dbe51e79fca_2438.txt", "TXT")</f>
        <v/>
      </c>
    </row>
    <row r="1682">
      <c r="A1682" s="1" t="n">
        <v>1680</v>
      </c>
      <c r="B1682" t="n">
        <v>2019</v>
      </c>
      <c r="C1682" s="2" t="n">
        <v>43521.625</v>
      </c>
      <c r="D1682" t="inlineStr">
        <is>
          <t>A CRITICA</t>
        </is>
      </c>
      <c r="E1682" t="inlineStr">
        <is>
          <t>VENEZUELANOS</t>
        </is>
      </c>
      <c r="F1682" t="inlineStr">
        <is>
          <t>MANAUS</t>
        </is>
      </c>
      <c r="G1682" t="inlineStr">
        <is>
          <t>MÁRCIA MONTEIRO</t>
        </is>
      </c>
      <c r="H1682" t="inlineStr">
        <is>
          <t>EX-CANDIDATA AO MISS AMAZONAS E AMIGO SÃO ESFAQUEADOS EM ASSALTO EM BLOCO DE CARNAVAL</t>
        </is>
      </c>
      <c r="I1682" t="inlineStr">
        <is>
          <t>MABEL CRISTINA, DE 23 ANOS, E FELIPE DO CARMO, 27, USAVAM UM CELULAR PARA TIRAR UMA FOTO QUANDO FORAM ABORDADOS. A MODELO ESTÁ HOSPITALIZADA EM ESTADO GRAVE</t>
        </is>
      </c>
      <c r="J1682">
        <f>HYPERLINK("https://www.acritica.com/manaus/ex-candidata-ao-miss-amazonas-e-amigo-s-o-esfaqueados-em-assalto-em-bloco-de-carnaval-1.74973", "URL")</f>
        <v/>
      </c>
      <c r="K1682">
        <f>HYPERLINK("https://raw.githubusercontent.com/marcosmapl/dataset_imigrantes/main/noticias_filtered/a_critica/venezuelanos/2019/01_fev/html/1.74973_387.html", "HTML")</f>
        <v/>
      </c>
      <c r="L1682">
        <f>HYPERLINK("https://raw.githubusercontent.com/marcosmapl/dataset_imigrantes/main/noticias_filtered/a_critica/venezuelanos/2019/01_fev/txt/1.74973_387.txt", "TXT")</f>
        <v/>
      </c>
    </row>
    <row r="1683">
      <c r="A1683" s="1" t="n">
        <v>1681</v>
      </c>
      <c r="B1683" t="n">
        <v>2019</v>
      </c>
      <c r="C1683" s="2" t="n">
        <v>43521.58056712963</v>
      </c>
      <c r="D1683" t="inlineStr">
        <is>
          <t>A CRITICA</t>
        </is>
      </c>
      <c r="E1683" t="inlineStr">
        <is>
          <t>VENEZUELANOS</t>
        </is>
      </c>
      <c r="F1683" t="inlineStr"/>
      <c r="G1683" t="inlineStr">
        <is>
          <t>PAULA LABOISSIÈRE (AGÊNCIA BRASIL)</t>
        </is>
      </c>
      <c r="H1683" t="inlineStr">
        <is>
          <t>RORAIMA DECRETA CALAMIDADE PÚBLICA NA SAÚDE DEVIDO A CONFLITOS NA FRONTEIRA</t>
        </is>
      </c>
      <c r="I1683" t="inlineStr">
        <is>
          <t>AGRAVAMENTO DE CONFLITOS ELEVOU NÚMERO DE ATENDIMENTOS NO HOSPITAL GERAL, PRINCIPAL UNIDADE DA REDE E A ÚNICA A REALIZAR PROCEDIMENTOS DE ALTA COMPLEXIDADE</t>
        </is>
      </c>
      <c r="J1683">
        <f>HYPERLINK("https://www.acritica.com/roraima-decreta-calamidade-publica-na-saude-devido-a-conflitos-na-fronteira-1.75004", "URL")</f>
        <v/>
      </c>
      <c r="K1683">
        <f>HYPERLINK("https://raw.githubusercontent.com/marcosmapl/dataset_imigrantes/main/noticias_filtered/a_critica/venezuelanos/2019/01_fev/html/1.75004_85.html", "HTML")</f>
        <v/>
      </c>
      <c r="L1683">
        <f>HYPERLINK("https://raw.githubusercontent.com/marcosmapl/dataset_imigrantes/main/noticias_filtered/a_critica/venezuelanos/2019/01_fev/txt/1.75004_85.txt", "TXT")</f>
        <v/>
      </c>
    </row>
    <row r="1684">
      <c r="A1684" s="1" t="n">
        <v>1682</v>
      </c>
      <c r="B1684" t="n">
        <v>2019</v>
      </c>
      <c r="C1684" s="2" t="n">
        <v>43521.51263888889</v>
      </c>
      <c r="D1684" t="inlineStr">
        <is>
          <t>A CRITICA</t>
        </is>
      </c>
      <c r="E1684" t="inlineStr">
        <is>
          <t>VENEZUELANOS</t>
        </is>
      </c>
      <c r="F1684" t="inlineStr"/>
      <c r="G1684" t="inlineStr">
        <is>
          <t>AGÊNCIA BRASIL</t>
        </is>
      </c>
      <c r="H1684" t="inlineStr">
        <is>
          <t>GUAIDÓ INDICA QUE MANTERÁ AJUDA HUMANITÁRIA PARA A VENEZUELA</t>
        </is>
      </c>
      <c r="I1684" t="inlineStr">
        <is>
          <t>“A VENEZUELA TEM UM POVO QUE RESISTE E INSISTE EM BUSCAR A DEMOCRACIA E A LIBERDADE", AFIRMOU GUAIDÓ AO CHEGAR À CAPITAL COLOMBIANA</t>
        </is>
      </c>
      <c r="J1684">
        <f>HYPERLINK("https://www.acritica.com/guaido-indica-que-mantera-ajuda-humanitaria-para-a-venezuela-1.75032", "URL")</f>
        <v/>
      </c>
      <c r="K1684">
        <f>HYPERLINK("https://raw.githubusercontent.com/marcosmapl/dataset_imigrantes/main/noticias_filtered/a_critica/venezuelanos/2019/01_fev/html/1.75032_813.html", "HTML")</f>
        <v/>
      </c>
      <c r="L1684">
        <f>HYPERLINK("https://raw.githubusercontent.com/marcosmapl/dataset_imigrantes/main/noticias_filtered/a_critica/venezuelanos/2019/01_fev/txt/1.75032_813.txt", "TXT")</f>
        <v/>
      </c>
    </row>
    <row r="1685">
      <c r="A1685" s="1" t="n">
        <v>1683</v>
      </c>
      <c r="B1685" t="n">
        <v>2019</v>
      </c>
      <c r="C1685" s="2" t="n">
        <v>43521.44269675926</v>
      </c>
      <c r="D1685" t="inlineStr">
        <is>
          <t>A CRITICA</t>
        </is>
      </c>
      <c r="E1685" t="inlineStr">
        <is>
          <t>VENEZUELANOS</t>
        </is>
      </c>
      <c r="F1685" t="inlineStr">
        <is>
          <t>OPINIAO</t>
        </is>
      </c>
      <c r="G1685" t="inlineStr"/>
      <c r="H1685" t="inlineStr">
        <is>
          <t>VENEZUELA SEM SOLUÇÃO</t>
        </is>
      </c>
      <c r="I1685" t="inlineStr"/>
      <c r="J1685">
        <f>HYPERLINK("https://www.acritica.com/opiniao/venezuela-sem-soluc-o-1.223805", "URL")</f>
        <v/>
      </c>
      <c r="K1685">
        <f>HYPERLINK("https://raw.githubusercontent.com/marcosmapl/dataset_imigrantes/main/noticias_filtered/a_critica/venezuelanos/2019/01_fev/html/1.223805_175.html", "HTML")</f>
        <v/>
      </c>
      <c r="L1685">
        <f>HYPERLINK("https://raw.githubusercontent.com/marcosmapl/dataset_imigrantes/main/noticias_filtered/a_critica/venezuelanos/2019/01_fev/txt/1.223805_175.txt", "TXT")</f>
        <v/>
      </c>
    </row>
    <row r="1686">
      <c r="A1686" s="1" t="n">
        <v>1684</v>
      </c>
      <c r="B1686" t="n">
        <v>2019</v>
      </c>
      <c r="C1686" s="2" t="n">
        <v>43520.70820326389</v>
      </c>
      <c r="D1686" t="inlineStr">
        <is>
          <t>G1</t>
        </is>
      </c>
      <c r="E1686" t="inlineStr">
        <is>
          <t>VENEZUELANOS</t>
        </is>
      </c>
      <c r="F1686" t="inlineStr">
        <is>
          <t>RORAIMA</t>
        </is>
      </c>
      <c r="G1686" t="inlineStr">
        <is>
          <t>PEDRO BARBOSA, G1 RR — BOA VISTA</t>
        </is>
      </c>
      <c r="H1686" t="inlineStr">
        <is>
          <t>GOVERNADOR DE RORAIMA DEVE DECRETAR CALAMIDADE NA SAÚDE APÓS CONFLITOS NA VENEZUELA</t>
        </is>
      </c>
      <c r="I1686" t="inlineStr">
        <is>
          <t>DESDE A SEXTA (22), HOSPITAIS DO ESTADO RECEBEM VÍTIMAS DE CONFLITOS EM CIDADES VENEZUELANAS. PACIENTES INGRESSAM NO PAÍS POR PACARAIMA E SÃO TRANSFERIDOS A BOA VISTA.</t>
        </is>
      </c>
      <c r="J1686">
        <f>HYPERLINK("https://g1.globo.com/rr/roraima/noticia/2019/02/24/governador-de-roraima-deve-decretar-calamidade-na-saude-apos-conflitos-na-venezuela.ghtml", "URL")</f>
        <v/>
      </c>
      <c r="K1686">
        <f>HYPERLINK("https://raw.githubusercontent.com/marcosmapl/dataset_imigrantes/main/noticias_filtered/g1/venezuelanos/2019/01_fev/html/g1_3e268c78-2307-11ed-b24f-6dbe51e79fca_2306.html", "HTML")</f>
        <v/>
      </c>
      <c r="L1686">
        <f>HYPERLINK("https://raw.githubusercontent.com/marcosmapl/dataset_imigrantes/main/noticias_filtered/g1/venezuelanos/2019/01_fev/txt/g1_3e268c78-2307-11ed-b24f-6dbe51e79fca_2306.txt", "TXT")</f>
        <v/>
      </c>
    </row>
    <row r="1687">
      <c r="A1687" s="1" t="n">
        <v>1685</v>
      </c>
      <c r="B1687" t="n">
        <v>2019</v>
      </c>
      <c r="C1687" s="2" t="n">
        <v>43520.53680555556</v>
      </c>
      <c r="D1687" t="inlineStr">
        <is>
          <t>A CRITICA</t>
        </is>
      </c>
      <c r="E1687" t="inlineStr">
        <is>
          <t>VENEZUELANOS</t>
        </is>
      </c>
      <c r="F1687" t="inlineStr"/>
      <c r="G1687" t="inlineStr">
        <is>
          <t>AGÊNCIA BRASIL</t>
        </is>
      </c>
      <c r="H1687" t="inlineStr">
        <is>
          <t>BRASIL CONDENA VIOLÊNCIA NAS FRONTEIRAS COM A VENEZUELA: 'DE CARÁTER CRIMINOSO'</t>
        </is>
      </c>
      <c r="I1687" t="inlineStr">
        <is>
          <t>EM NOTA, ITAMARATY MENCIONA “ATENTADO BRUTAL AOS DIREITOS HUMANOS”</t>
        </is>
      </c>
      <c r="J1687">
        <f>HYPERLINK("https://www.acritica.com/brasil-condena-violencia-nas-fronteiras-com-a-venezuela-de-carater-criminoso-1.74842", "URL")</f>
        <v/>
      </c>
      <c r="K1687">
        <f>HYPERLINK("https://raw.githubusercontent.com/marcosmapl/dataset_imigrantes/main/noticias_filtered/a_critica/venezuelanos/2019/01_fev/html/1.74842_1348.html", "HTML")</f>
        <v/>
      </c>
      <c r="L1687">
        <f>HYPERLINK("https://raw.githubusercontent.com/marcosmapl/dataset_imigrantes/main/noticias_filtered/a_critica/venezuelanos/2019/01_fev/txt/1.74842_1348.txt", "TXT")</f>
        <v/>
      </c>
    </row>
    <row r="1688">
      <c r="A1688" s="1" t="n">
        <v>1686</v>
      </c>
      <c r="B1688" t="n">
        <v>2019</v>
      </c>
      <c r="C1688" s="2" t="n">
        <v>43520.03748818287</v>
      </c>
      <c r="D1688" t="inlineStr">
        <is>
          <t>G1</t>
        </is>
      </c>
      <c r="E1688" t="inlineStr">
        <is>
          <t>VENEZUELANOS</t>
        </is>
      </c>
      <c r="F1688" t="inlineStr">
        <is>
          <t>JORNAL NACIONAL</t>
        </is>
      </c>
      <c r="G1688" t="inlineStr"/>
      <c r="H1688" t="inlineStr">
        <is>
          <t>CAMINHÕES PARTEM DO BRASIL, MAS SÃO IMPEDIDOS DE PASSAR PELA ALFÂNDEGA VENEZUELANA</t>
        </is>
      </c>
      <c r="I1688" t="inlineStr">
        <is>
          <t>NA FRONTEIRA DO BRASIL COM A VENEZUELA. A SITUAÇÃO FICOU MUITO TENSA, E NO FIM DO DIA, HOUVE CONFRONTO. DOIS CAMINHÕES COM AJUDA HUMANITÁRIA NÃO CONSEGUIRAM PASSAR PELA ALFÂNDEGA VENEZUELANA.</t>
        </is>
      </c>
      <c r="J1688">
        <f>HYPERLINK("https://g1.globo.com/jornal-nacional/noticia/2019/02/23/caminhoes-partem-do-brasil-mas-sao-impedidos-de-passar-pela-alfandega-venezuelana.ghtml", "URL")</f>
        <v/>
      </c>
      <c r="K1688">
        <f>HYPERLINK("https://raw.githubusercontent.com/marcosmapl/dataset_imigrantes/main/noticias_filtered/g1/venezuelanos/2019/01_fev/html/g1_d8584d38-230f-11ed-b24f-6dbe51e79fca_2822.html", "HTML")</f>
        <v/>
      </c>
      <c r="L1688">
        <f>HYPERLINK("https://raw.githubusercontent.com/marcosmapl/dataset_imigrantes/main/noticias_filtered/g1/venezuelanos/2019/01_fev/txt/g1_d8584d38-230f-11ed-b24f-6dbe51e79fca_2822.txt", "TXT")</f>
        <v/>
      </c>
    </row>
    <row r="1689">
      <c r="A1689" s="1" t="n">
        <v>1687</v>
      </c>
      <c r="B1689" t="n">
        <v>2019</v>
      </c>
      <c r="C1689" s="2" t="n">
        <v>43519.87251481482</v>
      </c>
      <c r="D1689" t="inlineStr">
        <is>
          <t>G1</t>
        </is>
      </c>
      <c r="E1689" t="inlineStr">
        <is>
          <t>VENEZUELANOS</t>
        </is>
      </c>
      <c r="F1689" t="inlineStr">
        <is>
          <t>RORAIMA</t>
        </is>
      </c>
      <c r="G1689" t="inlineStr">
        <is>
          <t>ALAN CHAVES, G1</t>
        </is>
      </c>
      <c r="H1689" t="inlineStr">
        <is>
          <t>MÉDICA RELATA 3 MORTOS A TIROS EM CIDADE VENEZUELANA PRÓXIMA DA FRONTEIRA COM O BRASIL</t>
        </is>
      </c>
      <c r="I1689" t="inlineStr">
        <is>
          <t>CARLA SERVITÁ, QUE TRABALHA EM HOSPITAL DE SANTA ELENA, NA VENEZUELA, CHEGOU A RORAIMA EM AMBULÂNCIA JUNTO COM FERIDO NA TARDE DESTE SÁBADO (23).</t>
        </is>
      </c>
      <c r="J1689">
        <f>HYPERLINK("https://g1.globo.com/rr/roraima/noticia/2019/02/23/medica-relata-3-mortos-a-tiros-em-cidade-venezuelana-proxima-da-fronteira-com-o-brasil.ghtml", "URL")</f>
        <v/>
      </c>
      <c r="K1689">
        <f>HYPERLINK("https://raw.githubusercontent.com/marcosmapl/dataset_imigrantes/main/noticias_filtered/g1/venezuelanos/2019/01_fev/html/g1_b808843c-2321-11ed-b24f-6dbe51e79fca_3714.html", "HTML")</f>
        <v/>
      </c>
      <c r="L1689">
        <f>HYPERLINK("https://raw.githubusercontent.com/marcosmapl/dataset_imigrantes/main/noticias_filtered/g1/venezuelanos/2019/01_fev/txt/g1_b808843c-2321-11ed-b24f-6dbe51e79fca_3714.txt", "TXT")</f>
        <v/>
      </c>
    </row>
    <row r="1690">
      <c r="A1690" s="1" t="n">
        <v>1688</v>
      </c>
      <c r="B1690" t="n">
        <v>2019</v>
      </c>
      <c r="C1690" s="2" t="n">
        <v>43519.83203703703</v>
      </c>
      <c r="D1690" t="inlineStr">
        <is>
          <t>A CRITICA</t>
        </is>
      </c>
      <c r="E1690" t="inlineStr">
        <is>
          <t>VENEZUELANOS</t>
        </is>
      </c>
      <c r="F1690" t="inlineStr"/>
      <c r="G1690" t="inlineStr">
        <is>
          <t>AGÊNCIA BRASIL</t>
        </is>
      </c>
      <c r="H1690" t="inlineStr">
        <is>
          <t>MADURO DISCURSA PARA APOIADORES E CRITICA AJUDA HUMANITÁRIA À VENEZUELA</t>
        </is>
      </c>
      <c r="I1690" t="inlineStr">
        <is>
          <t>DURANTE DISCURSO, O PRESIDENTE DA VENEZUELA ATACOU OS PRESIDENTES DA COLÔMBIA E DOS ESTADOS UNIDOS</t>
        </is>
      </c>
      <c r="J1690">
        <f>HYPERLINK("https://www.acritica.com/maduro-discursa-para-apoiadores-e-critica-ajuda-humanitaria-a-venezuela-1.74852", "URL")</f>
        <v/>
      </c>
      <c r="K1690">
        <f>HYPERLINK("https://raw.githubusercontent.com/marcosmapl/dataset_imigrantes/main/noticias_filtered/a_critica/venezuelanos/2019/01_fev/html/1.74852_1329.html", "HTML")</f>
        <v/>
      </c>
      <c r="L1690">
        <f>HYPERLINK("https://raw.githubusercontent.com/marcosmapl/dataset_imigrantes/main/noticias_filtered/a_critica/venezuelanos/2019/01_fev/txt/1.74852_1329.txt", "TXT")</f>
        <v/>
      </c>
    </row>
    <row r="1691">
      <c r="A1691" s="1" t="n">
        <v>1689</v>
      </c>
      <c r="B1691" t="n">
        <v>2019</v>
      </c>
      <c r="C1691" s="2" t="n">
        <v>43519.83129644676</v>
      </c>
      <c r="D1691" t="inlineStr">
        <is>
          <t>G1</t>
        </is>
      </c>
      <c r="E1691" t="inlineStr">
        <is>
          <t>VENEZUELANOS</t>
        </is>
      </c>
      <c r="F1691" t="inlineStr">
        <is>
          <t>RORAIMA</t>
        </is>
      </c>
      <c r="G1691" t="inlineStr">
        <is>
          <t>EMILY COSTA, G1 RR — BOA VISTA</t>
        </is>
      </c>
      <c r="H1691" t="inlineStr">
        <is>
          <t>VENEZUELANO ENTROU COM CAMINHÃO NO BRASIL POR ROTA CLANDESTINA PARA BUSCAR AJUDA HUMANITÁRIA: 'QUERO AJUDAR'</t>
        </is>
      </c>
      <c r="I1691" t="inlineStr">
        <is>
          <t>MOTORISTA CONTOU COM A AJUDA DE BRASILEIROS PARA TROCAR PNEU DO CAMINHÃO QUE ESTOUROU DURANTE VIAGEM DE BOA VISTA PARA PACARAIMA.</t>
        </is>
      </c>
      <c r="J1691">
        <f>HYPERLINK("https://g1.globo.com/rr/roraima/noticia/2019/02/23/venezuelano-entrou-com-caminhao-no-brasil-por-rota-clandestina-para-buscar-ajuda-humanitaria-quero-ajudar.ghtml", "URL")</f>
        <v/>
      </c>
      <c r="K1691">
        <f>HYPERLINK("https://raw.githubusercontent.com/marcosmapl/dataset_imigrantes/main/noticias_filtered/g1/venezuelanos/2019/01_fev/html/g1_e8fe42f8-2325-11ed-b24f-6dbe51e79fca_3942.html", "HTML")</f>
        <v/>
      </c>
      <c r="L1691">
        <f>HYPERLINK("https://raw.githubusercontent.com/marcosmapl/dataset_imigrantes/main/noticias_filtered/g1/venezuelanos/2019/01_fev/txt/g1_e8fe42f8-2325-11ed-b24f-6dbe51e79fca_3942.txt", "TXT")</f>
        <v/>
      </c>
    </row>
    <row r="1692">
      <c r="A1692" s="1" t="n">
        <v>1690</v>
      </c>
      <c r="B1692" t="n">
        <v>2019</v>
      </c>
      <c r="C1692" s="2" t="n">
        <v>43519.77569444444</v>
      </c>
      <c r="D1692" t="inlineStr">
        <is>
          <t>A CRITICA</t>
        </is>
      </c>
      <c r="E1692" t="inlineStr">
        <is>
          <t>VENEZUELANOS</t>
        </is>
      </c>
      <c r="F1692" t="inlineStr"/>
      <c r="G1692" t="inlineStr">
        <is>
          <t>POR FELIPE PONTES - REPÓRTER DA AGÊNCIA BRASIL</t>
        </is>
      </c>
      <c r="H1692" t="inlineStr">
        <is>
          <t>HOSPITAIS DE RORAIMA ATENDEM 13 VENEZUELANOS FERIDOS EM CONFRONTOS</t>
        </is>
      </c>
      <c r="I1692" t="inlineStr">
        <is>
          <t>UM DOS ATENDIDOS, IDENTIFICADO COMO LINO BENAVIDES, DEU ENTRADA NA NOITE DE SEXTA-FEIRA NO HOSPITAL EM BOA VISTA COM TRAUMATISMO CRANIANO E PERMANECE EM OBSERVAÇÃO</t>
        </is>
      </c>
      <c r="J1692">
        <f>HYPERLINK("https://www.acritica.com/hospitais-de-roraima-atendem-13-venezuelanos-feridos-em-confrontos-1.74854", "URL")</f>
        <v/>
      </c>
      <c r="K1692">
        <f>HYPERLINK("https://raw.githubusercontent.com/marcosmapl/dataset_imigrantes/main/noticias_filtered/a_critica/venezuelanos/2019/01_fev/html/1.74854_638.html", "HTML")</f>
        <v/>
      </c>
      <c r="L1692">
        <f>HYPERLINK("https://raw.githubusercontent.com/marcosmapl/dataset_imigrantes/main/noticias_filtered/a_critica/venezuelanos/2019/01_fev/txt/1.74854_638.txt", "TXT")</f>
        <v/>
      </c>
    </row>
    <row r="1693">
      <c r="A1693" s="1" t="n">
        <v>1691</v>
      </c>
      <c r="B1693" t="n">
        <v>2019</v>
      </c>
      <c r="C1693" s="2" t="n">
        <v>43519.74980324074</v>
      </c>
      <c r="D1693" t="inlineStr">
        <is>
          <t>A CRITICA</t>
        </is>
      </c>
      <c r="E1693" t="inlineStr">
        <is>
          <t>VENEZUELANOS</t>
        </is>
      </c>
      <c r="F1693" t="inlineStr"/>
      <c r="G1693" t="inlineStr">
        <is>
          <t>AGÊNCIA BRASIL</t>
        </is>
      </c>
      <c r="H1693" t="inlineStr">
        <is>
          <t>GUAIDÓ E DUQUE APELAM A MILITARES VENEZUELANOS: 'FIQUEM DO LADO CERTO'</t>
        </is>
      </c>
      <c r="I1693" t="inlineStr">
        <is>
          <t>QUATRO MILITARES FIEIS AO PRESIDENTE MADURO TERIAM DESERTADO DAS FORÇAS ARMADAS DO PAÍS</t>
        </is>
      </c>
      <c r="J1693">
        <f>HYPERLINK("https://www.acritica.com/guaido-e-duque-apelam-a-militares-venezuelanos-fiquem-do-lado-certo-1.74860", "URL")</f>
        <v/>
      </c>
      <c r="K1693">
        <f>HYPERLINK("https://raw.githubusercontent.com/marcosmapl/dataset_imigrantes/main/noticias_filtered/a_critica/venezuelanos/2019/01_fev/html/1.74860_532.html", "HTML")</f>
        <v/>
      </c>
      <c r="L1693">
        <f>HYPERLINK("https://raw.githubusercontent.com/marcosmapl/dataset_imigrantes/main/noticias_filtered/a_critica/venezuelanos/2019/01_fev/txt/1.74860_532.txt", "TXT")</f>
        <v/>
      </c>
    </row>
    <row r="1694">
      <c r="A1694" s="1" t="n">
        <v>1692</v>
      </c>
      <c r="B1694" t="n">
        <v>2019</v>
      </c>
      <c r="C1694" s="2" t="n">
        <v>43519.73033564815</v>
      </c>
      <c r="D1694" t="inlineStr">
        <is>
          <t>A CRITICA</t>
        </is>
      </c>
      <c r="E1694" t="inlineStr">
        <is>
          <t>VENEZUELANOS</t>
        </is>
      </c>
      <c r="F1694" t="inlineStr"/>
      <c r="G1694" t="inlineStr">
        <is>
          <t>REUTERS STAFF - REUTERS</t>
        </is>
      </c>
      <c r="H1694" t="inlineStr">
        <is>
          <t>MINISTRO DIZ ESPERAR QUE MADURO PERMITA ENTRADA DE AJUDA HUMANITÁRIA NA VENEZUELA</t>
        </is>
      </c>
      <c r="I1694" t="inlineStr">
        <is>
          <t>OS DOIS PRIMEIROS CAMINHÕES COM A AJUDA HUMANITÁRIA DO BRASIL PARTIU DE BOA VISTA NESTE SÁBADO (23)</t>
        </is>
      </c>
      <c r="J1694">
        <f>HYPERLINK("https://www.acritica.com/ministro-diz-esperar-que-maduro-permita-entrada-de-ajuda-humanitaria-na-venezuela-1.74864", "URL")</f>
        <v/>
      </c>
      <c r="K1694">
        <f>HYPERLINK("https://raw.githubusercontent.com/marcosmapl/dataset_imigrantes/main/noticias_filtered/a_critica/venezuelanos/2019/01_fev/html/1.74864_982.html", "HTML")</f>
        <v/>
      </c>
      <c r="L1694">
        <f>HYPERLINK("https://raw.githubusercontent.com/marcosmapl/dataset_imigrantes/main/noticias_filtered/a_critica/venezuelanos/2019/01_fev/txt/1.74864_982.txt", "TXT")</f>
        <v/>
      </c>
    </row>
    <row r="1695">
      <c r="A1695" s="1" t="n">
        <v>1693</v>
      </c>
      <c r="B1695" t="n">
        <v>2019</v>
      </c>
      <c r="C1695" s="2" t="n">
        <v>43519.48169746528</v>
      </c>
      <c r="D1695" t="inlineStr">
        <is>
          <t>G1</t>
        </is>
      </c>
      <c r="E1695" t="inlineStr">
        <is>
          <t>VENEZUELANOS</t>
        </is>
      </c>
      <c r="F1695" t="inlineStr">
        <is>
          <t>SÃO JOSÉ DO RIO PRETO E ARAÇATUBA</t>
        </is>
      </c>
      <c r="G1695" t="inlineStr">
        <is>
          <t>CAROLINA PASCHOALON*, G1 RIO PRETO E ARAÇATUBA</t>
        </is>
      </c>
      <c r="H1695" t="inlineStr">
        <is>
          <t>'FICO PREOCUPADO COM MINHA FAMÍLIA', DIZ VENEZUELANO QUE GANHA A VIDA VENDENDO TEQUEÑOS NO BRASIL</t>
        </is>
      </c>
      <c r="I1695" t="inlineStr">
        <is>
          <t>JOSÉ VARGAS ESTÁ HÁ MAIS DE UM ANO EM RIO PRETO E FAZ PRATO TÍPICO DA VENEZUELA PARA PAGAR VIAGEM DA FAMÍLIA AO BRASIL. ELE SE DIZ PREOCUPADO COM O FECHAMENTO DA FRONTEIRA ENTRE OS PAÍSES.</t>
        </is>
      </c>
      <c r="J1695">
        <f>HYPERLINK("https://g1.globo.com/sp/sao-jose-do-rio-preto-aracatuba/noticia/2019/02/23/fico-preocupado-com-minha-familia-diz-venezuelano-que-ganha-a-vida-vendendo-tequenos-no-brasil.ghtml", "URL")</f>
        <v/>
      </c>
      <c r="K1695">
        <f>HYPERLINK("https://raw.githubusercontent.com/marcosmapl/dataset_imigrantes/main/noticias_filtered/g1/venezuelanos/2019/01_fev/html/g1_12be96ae-231e-11ed-b24f-6dbe51e79fca_3538.html", "HTML")</f>
        <v/>
      </c>
      <c r="L1695">
        <f>HYPERLINK("https://raw.githubusercontent.com/marcosmapl/dataset_imigrantes/main/noticias_filtered/g1/venezuelanos/2019/01_fev/txt/g1_12be96ae-231e-11ed-b24f-6dbe51e79fca_3538.txt", "TXT")</f>
        <v/>
      </c>
    </row>
    <row r="1696">
      <c r="A1696" s="1" t="n">
        <v>1694</v>
      </c>
      <c r="B1696" t="n">
        <v>2019</v>
      </c>
      <c r="C1696" s="2" t="n">
        <v>43518.94792265046</v>
      </c>
      <c r="D1696" t="inlineStr">
        <is>
          <t>G1</t>
        </is>
      </c>
      <c r="E1696" t="inlineStr">
        <is>
          <t>VENEZUELANOS</t>
        </is>
      </c>
      <c r="F1696" t="inlineStr">
        <is>
          <t>CAMPINAS E REGIÃO</t>
        </is>
      </c>
      <c r="G1696" t="inlineStr">
        <is>
          <t>G1 CAMPINAS E REGIÃO</t>
        </is>
      </c>
      <c r="H1696" t="inlineStr">
        <is>
          <t>À ESPERA DA MULHER E DOIS FILHOS, VENEZUELANO VIVE DRAMA COM A FRONTEIRA FECHADA: 'É DOLOROSO'</t>
        </is>
      </c>
      <c r="I1696" t="inlineStr">
        <is>
          <t>CARLOS ORTIZ, DE 30 ANOS, HAVIA COMPRADO PASSAGEM PARA MULHER E DOIS FILHOS PARA 20 DE MARÇO, MAS PRECISOU REMARCÁ-LA. FRONTEIRA ENTRE BRASIL E VENEZUELA FOI FECHADA SOB ORDEM DE NICOLÁS MADURO POR TEMPO INDETERMINADO.</t>
        </is>
      </c>
      <c r="J1696">
        <f>HYPERLINK("https://g1.globo.com/sp/campinas-regiao/noticia/2019/02/22/a-espera-da-mulher-e-dois-filhos-venezuelano-vive-drama-com-a-fronteira-fechada-e-doloroso.ghtml", "URL")</f>
        <v/>
      </c>
      <c r="K1696">
        <f>HYPERLINK("https://raw.githubusercontent.com/marcosmapl/dataset_imigrantes/main/noticias_filtered/g1/venezuelanos/2019/01_fev/html/g1_9bcf31fe-230c-11ed-b24f-6dbe51e79fca_2635.html", "HTML")</f>
        <v/>
      </c>
      <c r="L1696">
        <f>HYPERLINK("https://raw.githubusercontent.com/marcosmapl/dataset_imigrantes/main/noticias_filtered/g1/venezuelanos/2019/01_fev/txt/g1_9bcf31fe-230c-11ed-b24f-6dbe51e79fca_2635.txt", "TXT")</f>
        <v/>
      </c>
    </row>
    <row r="1697">
      <c r="A1697" s="1" t="n">
        <v>1695</v>
      </c>
      <c r="B1697" t="n">
        <v>2019</v>
      </c>
      <c r="C1697" s="2" t="n">
        <v>43518.93370253472</v>
      </c>
      <c r="D1697" t="inlineStr">
        <is>
          <t>G1</t>
        </is>
      </c>
      <c r="E1697" t="inlineStr">
        <is>
          <t>VENEZUELANOS</t>
        </is>
      </c>
      <c r="F1697" t="inlineStr">
        <is>
          <t>DISTRITO FEDERAL</t>
        </is>
      </c>
      <c r="G1697" t="inlineStr">
        <is>
          <t>MARÍLIA MARQUES, G1 DF</t>
        </is>
      </c>
      <c r="H1697" t="inlineStr">
        <is>
          <t>'MEDO DE FICAR PRESA': VENEZUELANA REFUGIADA NO DF RELATA DIFICULDADES APÓS FECHAMENTO DE FRONTEIRA</t>
        </is>
      </c>
      <c r="I1697" t="inlineStr">
        <is>
          <t>A FILHA DE YULI TERAN DEIXOU A VENEZUELA PARA COMPRAR COMIDA NO BRASIL. PLANO ERA RETORNAR PARA PAÍS VIZINHO EM MARÇO, MAS PASSAGEM DE PEDESTRES FOI PROIBIDA PELO GOVERNO MADURO.</t>
        </is>
      </c>
      <c r="J1697">
        <f>HYPERLINK("https://g1.globo.com/df/distrito-federal/noticia/2019/02/22/medo-de-ficar-presa-venezuelana-refugiada-no-df-relata-dificuldades-apos-fechamento-de-fronteira.ghtml", "URL")</f>
        <v/>
      </c>
      <c r="K1697">
        <f>HYPERLINK("https://raw.githubusercontent.com/marcosmapl/dataset_imigrantes/main/noticias_filtered/g1/venezuelanos/2019/01_fev/html/g1_4b289a72-231d-11ed-b24f-6dbe51e79fca_3495.html", "HTML")</f>
        <v/>
      </c>
      <c r="L1697">
        <f>HYPERLINK("https://raw.githubusercontent.com/marcosmapl/dataset_imigrantes/main/noticias_filtered/g1/venezuelanos/2019/01_fev/txt/g1_4b289a72-231d-11ed-b24f-6dbe51e79fca_3495.txt", "TXT")</f>
        <v/>
      </c>
    </row>
    <row r="1698">
      <c r="A1698" s="1" t="n">
        <v>1696</v>
      </c>
      <c r="B1698" t="n">
        <v>2019</v>
      </c>
      <c r="C1698" s="2" t="n">
        <v>43518.87850219908</v>
      </c>
      <c r="D1698" t="inlineStr">
        <is>
          <t>G1</t>
        </is>
      </c>
      <c r="E1698" t="inlineStr">
        <is>
          <t>VENEZUELANOS</t>
        </is>
      </c>
      <c r="F1698" t="inlineStr">
        <is>
          <t>RORAIMA</t>
        </is>
      </c>
      <c r="G1698" t="inlineStr">
        <is>
          <t>ALAN CHAVES, G1 RORAIMA</t>
        </is>
      </c>
      <c r="H1698" t="inlineStr">
        <is>
          <t>'NÃO FORAM BALAS DE BORRACHA', DIZ VENEZUELANO FERIDO EM CONFRONTO ENTRE INDÍGENAS E MILITARES PERTO DA FRONTEIRA</t>
        </is>
      </c>
      <c r="I1698" t="inlineStr">
        <is>
          <t>AO G1, INDÍGENA RELATOU COMO FOI O CONFLITO A CERCA DE 70 KM DA FRONTEIRA COM O BRASIL, QUE ESTÁ FECHADA POR ORDEM DE NICOLÁS MADURO; UMA PESSOA MORREU. SEGUNDO ELE, HÁ MILITARES 'PRESOS' NA COMUNIDADE.</t>
        </is>
      </c>
      <c r="J1698">
        <f>HYPERLINK("https://g1.globo.com/rr/roraima/noticia/2019/02/22/nao-foram-balas-de-borracha-diz-venezuelano-ferido-em-confronto-entre-indigenas-e-militares-perto-da-fronteira.ghtml", "URL")</f>
        <v/>
      </c>
      <c r="K1698">
        <f>HYPERLINK("https://raw.githubusercontent.com/marcosmapl/dataset_imigrantes/main/noticias_filtered/g1/venezuelanos/2019/01_fev/html/g1_717f68f2-230b-11ed-b24f-6dbe51e79fca_2565.html", "HTML")</f>
        <v/>
      </c>
      <c r="L1698">
        <f>HYPERLINK("https://raw.githubusercontent.com/marcosmapl/dataset_imigrantes/main/noticias_filtered/g1/venezuelanos/2019/01_fev/txt/g1_717f68f2-230b-11ed-b24f-6dbe51e79fca_2565.txt", "TXT")</f>
        <v/>
      </c>
    </row>
    <row r="1699">
      <c r="A1699" s="1" t="n">
        <v>1697</v>
      </c>
      <c r="B1699" t="n">
        <v>2019</v>
      </c>
      <c r="C1699" s="2" t="n">
        <v>43518.84511574074</v>
      </c>
      <c r="D1699" t="inlineStr">
        <is>
          <t>A CRITICA</t>
        </is>
      </c>
      <c r="E1699" t="inlineStr">
        <is>
          <t>VENEZUELANOS</t>
        </is>
      </c>
      <c r="F1699" t="inlineStr"/>
      <c r="G1699" t="inlineStr">
        <is>
          <t>POR ALEX RODRIGUES - REPÓRTER DA AGÊNCIA BRASIL</t>
        </is>
      </c>
      <c r="H1699" t="inlineStr">
        <is>
          <t>CONFRONTOS NA FRONTEIRA COM A VENEZUELA DEIXAM 2 MORTOS E 15 FERIDOS</t>
        </is>
      </c>
      <c r="I1699" t="inlineStr">
        <is>
          <t>PELO MENOS SETE VENEZUELANOS BALEADOS FORAM CONDUZIDOS PARA HOSPITAIS EM BOA VISTA, RORAIMA</t>
        </is>
      </c>
      <c r="J1699">
        <f>HYPERLINK("https://www.acritica.com/confrontos-na-fronteira-com-a-venezuela-deixam-2-mortos-e-15-feridos-1.74912", "URL")</f>
        <v/>
      </c>
      <c r="K1699">
        <f>HYPERLINK("https://raw.githubusercontent.com/marcosmapl/dataset_imigrantes/main/noticias_filtered/a_critica/venezuelanos/2019/01_fev/html/1.74912_996.html", "HTML")</f>
        <v/>
      </c>
      <c r="L1699">
        <f>HYPERLINK("https://raw.githubusercontent.com/marcosmapl/dataset_imigrantes/main/noticias_filtered/a_critica/venezuelanos/2019/01_fev/txt/1.74912_996.txt", "TXT")</f>
        <v/>
      </c>
    </row>
    <row r="1700">
      <c r="A1700" s="1" t="n">
        <v>1698</v>
      </c>
      <c r="B1700" t="n">
        <v>2019</v>
      </c>
      <c r="C1700" s="2" t="n">
        <v>43518.71243055556</v>
      </c>
      <c r="D1700" t="inlineStr">
        <is>
          <t>A CRITICA</t>
        </is>
      </c>
      <c r="E1700" t="inlineStr">
        <is>
          <t>VENEZUELANOS</t>
        </is>
      </c>
      <c r="F1700" t="inlineStr"/>
      <c r="G1700" t="inlineStr">
        <is>
          <t>REUTERS</t>
        </is>
      </c>
      <c r="H1700" t="inlineStr">
        <is>
          <t>SOLDADOS VENEZUELANOS DEIXAM UM MORTO E DIVERSOS FERIDOS PERTO DA FRONTEIRA COM BRASIL</t>
        </is>
      </c>
      <c r="I1700" t="inlineStr">
        <is>
          <t>A MORTE ACONTECEU DURANTE SHOW DE ARRECADAÇÃO DE FUNDOS PARA VENEZUELA, COM PARTICIPAÇÃO DE GRANDES ESTRELAS LATINAS COMO LUIS FONSI E MALUMA</t>
        </is>
      </c>
      <c r="J1700">
        <f>HYPERLINK("https://www.acritica.com/soldados-venezuelanos-deixam-um-morto-e-diversos-feridos-perto-da-fronteira-com-brasil-1.74680", "URL")</f>
        <v/>
      </c>
      <c r="K1700">
        <f>HYPERLINK("https://raw.githubusercontent.com/marcosmapl/dataset_imigrantes/main/noticias_filtered/a_critica/venezuelanos/2019/01_fev/html/1.74680_1369.html", "HTML")</f>
        <v/>
      </c>
      <c r="L1700">
        <f>HYPERLINK("https://raw.githubusercontent.com/marcosmapl/dataset_imigrantes/main/noticias_filtered/a_critica/venezuelanos/2019/01_fev/txt/1.74680_1369.txt", "TXT")</f>
        <v/>
      </c>
    </row>
    <row r="1701">
      <c r="A1701" s="1" t="n">
        <v>1699</v>
      </c>
      <c r="B1701" t="n">
        <v>2019</v>
      </c>
      <c r="C1701" s="2" t="n">
        <v>43518.48541666667</v>
      </c>
      <c r="D1701" t="inlineStr">
        <is>
          <t>A CRITICA</t>
        </is>
      </c>
      <c r="E1701" t="inlineStr">
        <is>
          <t>VENEZUELANOS</t>
        </is>
      </c>
      <c r="F1701" t="inlineStr"/>
      <c r="G1701" t="inlineStr">
        <is>
          <t>AGÊNCIA BRASIL</t>
        </is>
      </c>
      <c r="H1701" t="inlineStr">
        <is>
          <t>CARAVANA QUE PREPARA AJUDA HUMANITÁRIA É ATACADA NA VENEZUELA</t>
        </is>
      </c>
      <c r="I1701" t="inlineStr">
        <is>
          <t>DEPUTADOS VENEZUELANOS DENUNCIAM QUE OS ÔNIBUS NOS QUAIS ESTÃO FORAM ALVOS DE ATAQUES DURANTE A MADRUGADA. IMAGENS MOSTRAM VIDROS QUEBRADOS E ESTILHAÇOS</t>
        </is>
      </c>
      <c r="J1701">
        <f>HYPERLINK("https://www.acritica.com/caravana-que-prepara-ajuda-humanitaria-e-atacada-na-venezuela-1.74714", "URL")</f>
        <v/>
      </c>
      <c r="K1701">
        <f>HYPERLINK("https://raw.githubusercontent.com/marcosmapl/dataset_imigrantes/main/noticias_filtered/a_critica/venezuelanos/2019/01_fev/html/1.74714_782.html", "HTML")</f>
        <v/>
      </c>
      <c r="L1701">
        <f>HYPERLINK("https://raw.githubusercontent.com/marcosmapl/dataset_imigrantes/main/noticias_filtered/a_critica/venezuelanos/2019/01_fev/txt/1.74714_782.txt", "TXT")</f>
        <v/>
      </c>
    </row>
    <row r="1702">
      <c r="A1702" s="1" t="n">
        <v>1700</v>
      </c>
      <c r="B1702" t="n">
        <v>2019</v>
      </c>
      <c r="C1702" s="2" t="n">
        <v>43518.47638888889</v>
      </c>
      <c r="D1702" t="inlineStr">
        <is>
          <t>PORTAL AMAZONIA</t>
        </is>
      </c>
      <c r="E1702" t="inlineStr">
        <is>
          <t>VENEZUELANOS</t>
        </is>
      </c>
      <c r="F1702" t="inlineStr">
        <is>
          <t>CIDADES</t>
        </is>
      </c>
      <c r="G1702" t="inlineStr">
        <is>
          <t>REDAÇÃO</t>
        </is>
      </c>
      <c r="H1702" t="inlineStr">
        <is>
          <t>APÓS TER FRONTEIRA FECHADA, RORAIMA PODE FICAR SEM COMBUSTÍVEL E ENERGIA ELÉTRICA</t>
        </is>
      </c>
      <c r="I1702" t="inlineStr">
        <is>
          <t>COM A FRONTEIRA FECHADA APÓS A DECISÃO DO PRESIDENTE DA VENEZUELA, NICOLÁS MADURO, O AGRONEGÓCIO E ABASTECIMENTO DE ENERGIA E COMBUSTÍVEIS NA REGIÃO RORAIMA DEVE SER PREJUDICADO, ALERTOU NESTA QUINTA-FEIRA (21) O GOVERNADOR DO ESTADO, ANTON</t>
        </is>
      </c>
      <c r="J1702">
        <f>HYPERLINK("https://portalamazonia.com/noticias/cidades/apos-ter-fronteira-fechada-roraima-pode-ficar-sem-combustivel-e-energia-eletrica", "URL")</f>
        <v/>
      </c>
      <c r="K1702">
        <f>HYPERLINK("https://raw.githubusercontent.com/marcosmapl/dataset_imigrantes/main/noticias_filtered/portal_amazonia/venezuelanos/2019/01_fev/html/17120.17120_1617.html", "HTML")</f>
        <v/>
      </c>
      <c r="L1702">
        <f>HYPERLINK("https://raw.githubusercontent.com/marcosmapl/dataset_imigrantes/main/noticias_filtered/portal_amazonia/venezuelanos/2019/01_fev/txt/17120.17120_1617.txt", "TXT")</f>
        <v/>
      </c>
    </row>
    <row r="1703">
      <c r="A1703" s="1" t="n">
        <v>1701</v>
      </c>
      <c r="B1703" t="n">
        <v>2019</v>
      </c>
      <c r="C1703" s="2" t="n">
        <v>43517.96736111111</v>
      </c>
      <c r="D1703" t="inlineStr">
        <is>
          <t>A CRITICA</t>
        </is>
      </c>
      <c r="E1703" t="inlineStr">
        <is>
          <t>VENEZUELANOS</t>
        </is>
      </c>
      <c r="F1703" t="inlineStr"/>
      <c r="G1703" t="inlineStr">
        <is>
          <t>POR LISANDRA PARAGUASSU - REUTERS</t>
        </is>
      </c>
      <c r="H1703" t="inlineStr">
        <is>
          <t>BRASIL MANTÉM  AJUDA PARA A VENEZUELA MESMO COM FECHAMENTO DA FRONTEIRA</t>
        </is>
      </c>
      <c r="I1703" t="inlineStr">
        <is>
          <t>SEGUNDO O PORTA-VOZ DA PRESIDÊNCIA, O GOVERNO BRASILEIRO NÃO IDENTIFICA ATÉ O MOMENTO “POSSIBILIDADE DE FRICÇÃO” NA FRONTEIRA E MANTÉM O PLANEJAMENTO DE LEVAR MANTIMENTOS E MEDICAMENTOS ATÉ PACARAIMA (RR)</t>
        </is>
      </c>
      <c r="J1703">
        <f>HYPERLINK("https://www.acritica.com/brasil-mantem-ajuda-para-a-venezuela-mesmo-com-fechamento-da-fronteira-1.74730", "URL")</f>
        <v/>
      </c>
      <c r="K1703">
        <f>HYPERLINK("https://raw.githubusercontent.com/marcosmapl/dataset_imigrantes/main/noticias_filtered/a_critica/venezuelanos/2019/01_fev/html/1.74730_1032.html", "HTML")</f>
        <v/>
      </c>
      <c r="L1703">
        <f>HYPERLINK("https://raw.githubusercontent.com/marcosmapl/dataset_imigrantes/main/noticias_filtered/a_critica/venezuelanos/2019/01_fev/txt/1.74730_1032.txt", "TXT")</f>
        <v/>
      </c>
    </row>
    <row r="1704">
      <c r="A1704" s="1" t="n">
        <v>1702</v>
      </c>
      <c r="B1704" t="n">
        <v>2019</v>
      </c>
      <c r="C1704" s="2" t="n">
        <v>43517.60563657407</v>
      </c>
      <c r="D1704" t="inlineStr">
        <is>
          <t>A CRITICA</t>
        </is>
      </c>
      <c r="E1704" t="inlineStr">
        <is>
          <t>VENEZUELANOS</t>
        </is>
      </c>
      <c r="F1704" t="inlineStr"/>
      <c r="G1704" t="inlineStr">
        <is>
          <t>AGÊNCIA BRASIL</t>
        </is>
      </c>
      <c r="H1704" t="inlineStr">
        <is>
          <t>GUAIDÓ VAI À FRONTEIRA COM A COLÔMBIA GARANTIR ENTRADA DE AJUDA</t>
        </is>
      </c>
      <c r="I1704" t="inlineStr">
        <is>
          <t>AUTOPROCLAMADO PRESIDENTE INTERINO DA VENEZUELA VAI AO PAÍS NA TENTATIVA DE TRAZER AJUDA HUMANITÁRIA BLOQUEADA PELO GOVERNO DE NICOLÁS MADURO</t>
        </is>
      </c>
      <c r="J1704">
        <f>HYPERLINK("https://www.acritica.com/guaido-vai-a-fronteira-com-a-colombia-garantir-entrada-de-ajuda-1.74773", "URL")</f>
        <v/>
      </c>
      <c r="K1704">
        <f>HYPERLINK("https://raw.githubusercontent.com/marcosmapl/dataset_imigrantes/main/noticias_filtered/a_critica/venezuelanos/2019/01_fev/html/1.74773_1004.html", "HTML")</f>
        <v/>
      </c>
      <c r="L1704">
        <f>HYPERLINK("https://raw.githubusercontent.com/marcosmapl/dataset_imigrantes/main/noticias_filtered/a_critica/venezuelanos/2019/01_fev/txt/1.74773_1004.txt", "TXT")</f>
        <v/>
      </c>
    </row>
    <row r="1705">
      <c r="A1705" s="1" t="n">
        <v>1703</v>
      </c>
      <c r="B1705" t="n">
        <v>2019</v>
      </c>
      <c r="C1705" s="2" t="n">
        <v>43516.93796731481</v>
      </c>
      <c r="D1705" t="inlineStr">
        <is>
          <t>G1</t>
        </is>
      </c>
      <c r="E1705" t="inlineStr">
        <is>
          <t>VENEZUELANOS</t>
        </is>
      </c>
      <c r="F1705" t="inlineStr">
        <is>
          <t>RORAIMA</t>
        </is>
      </c>
      <c r="G1705" t="inlineStr">
        <is>
          <t>ALAN CHAVES, G1 RR — BOA VISTA</t>
        </is>
      </c>
      <c r="H1705" t="inlineStr">
        <is>
          <t>FAMÍLIA VENEZUELANA TEM CASA INCENDIADA EM BOA VISTA E PERDE TUDO: 'CHAMAS DESTRUÍRAM NOSSA VIDA'</t>
        </is>
      </c>
      <c r="I1705" t="inlineStr">
        <is>
          <t>QUATRO PESSOAS, ENTRE ELAS DUAS CRIANÇAS, ESTAVAM NA RESIDÊNCIA NA HORA DO ACIDENTE, MAS NINGUÉM SE FERIU. FAMÍLIA PERDEU TUDO: MÓVEIS, ELETRODOMÉSTICO, ROUPAS, DINHEIRO E ATÉ ALIMENTOS.</t>
        </is>
      </c>
      <c r="J1705">
        <f>HYPERLINK("https://g1.globo.com/rr/roraima/noticia/2019/02/20/familia-venezuelana-tem-casa-incendiada-em-boa-vista-e-perde-tudo-chamas-destruiram-nossa-vida.ghtml", "URL")</f>
        <v/>
      </c>
      <c r="K1705">
        <f>HYPERLINK("https://raw.githubusercontent.com/marcosmapl/dataset_imigrantes/main/noticias_filtered/g1/venezuelanos/2019/01_fev/html/g1_5c0c67e4-2311-11ed-b24f-6dbe51e79fca_2912.html", "HTML")</f>
        <v/>
      </c>
      <c r="L1705">
        <f>HYPERLINK("https://raw.githubusercontent.com/marcosmapl/dataset_imigrantes/main/noticias_filtered/g1/venezuelanos/2019/01_fev/txt/g1_5c0c67e4-2311-11ed-b24f-6dbe51e79fca_2912.txt", "TXT")</f>
        <v/>
      </c>
    </row>
    <row r="1706">
      <c r="A1706" s="1" t="n">
        <v>1704</v>
      </c>
      <c r="B1706" t="n">
        <v>2019</v>
      </c>
      <c r="C1706" s="2" t="n">
        <v>43514.8359837963</v>
      </c>
      <c r="D1706" t="inlineStr">
        <is>
          <t>A CRITICA</t>
        </is>
      </c>
      <c r="E1706" t="inlineStr">
        <is>
          <t>VENEZUELANOS</t>
        </is>
      </c>
      <c r="F1706" t="inlineStr">
        <is>
          <t>MANAUS</t>
        </is>
      </c>
      <c r="G1706" t="inlineStr">
        <is>
          <t>AMANDA GUIMARÃES</t>
        </is>
      </c>
      <c r="H1706" t="inlineStr">
        <is>
          <t>A ESPERANÇA EM UM NOME: VENEZUELANOS EM MANAUS SONHAM COM PRESIDÊNCIA DE GUAIDÓ</t>
        </is>
      </c>
      <c r="I1706" t="inlineStr">
        <is>
          <t>ABRIGADOS EM UM ACAMPAMENTO AO LADO DA RODOVIÁRIA DE MANAUS, VENEZUELANOS AFIRMAM QUE ENCONTRAM NO NOME DO PRESIDENTE DA ASSEMBLEIA NACIONAL A ESPERANÇA PARA RECONSTITUIÇÃO DO PAÍS</t>
        </is>
      </c>
      <c r="J1706">
        <f>HYPERLINK("https://www.acritica.com/manaus/a-esperanca-em-um-nome-venezuelanos-em-manaus-sonham-com-presidencia-de-guaido-1.74026", "URL")</f>
        <v/>
      </c>
      <c r="K1706">
        <f>HYPERLINK("https://raw.githubusercontent.com/marcosmapl/dataset_imigrantes/main/noticias_filtered/a_critica/venezuelanos/2019/01_fev/html/1.74026_371.html", "HTML")</f>
        <v/>
      </c>
      <c r="L1706">
        <f>HYPERLINK("https://raw.githubusercontent.com/marcosmapl/dataset_imigrantes/main/noticias_filtered/a_critica/venezuelanos/2019/01_fev/txt/1.74026_371.txt", "TXT")</f>
        <v/>
      </c>
    </row>
    <row r="1707">
      <c r="A1707" s="1" t="n">
        <v>1705</v>
      </c>
      <c r="B1707" t="n">
        <v>2019</v>
      </c>
      <c r="C1707" s="2" t="n">
        <v>43514.63908114583</v>
      </c>
      <c r="D1707" t="inlineStr">
        <is>
          <t>G1</t>
        </is>
      </c>
      <c r="E1707" t="inlineStr">
        <is>
          <t>HAITIANOS</t>
        </is>
      </c>
      <c r="F1707" t="inlineStr">
        <is>
          <t>MUNDO</t>
        </is>
      </c>
      <c r="G1707" t="inlineStr">
        <is>
          <t>REUTERS</t>
        </is>
      </c>
      <c r="H1707" t="inlineStr">
        <is>
          <t>PREMIÊ DO HAITI PROMETE CORTAR GASTOS E INVESTIGAR PETROCARIBE EM MEIO A PROTESTOS</t>
        </is>
      </c>
      <c r="I1707" t="inlineStr">
        <is>
          <t>DESDE 7 DE FEVEREIRO, PROTESTOS PEDEM RENÚNCIA DO PRESIDENTE E DO PREMIÊ, ALÉM DE UM INQUÉRITO INDEPENDENTE SOBRE FUNDOS DE ACORDO DE COMPRA DE ENERGIA.</t>
        </is>
      </c>
      <c r="J1707">
        <f>HYPERLINK("https://g1.globo.com/mundo/noticia/2019/02/18/premie-do-haiti-promete-cortar-gastos-e-investigar-petrocaribe-em-meio-a-protestos.ghtml", "URL")</f>
        <v/>
      </c>
      <c r="K1707">
        <f>HYPERLINK("https://raw.githubusercontent.com/marcosmapl/dataset_imigrantes/main/noticias_filtered/g1/haitianos/2019/01_fev/html/g1_db18723a-231b-11ed-b24f-6dbe51e79fca_3411.html", "HTML")</f>
        <v/>
      </c>
      <c r="L1707">
        <f>HYPERLINK("https://raw.githubusercontent.com/marcosmapl/dataset_imigrantes/main/noticias_filtered/g1/haitianos/2019/01_fev/txt/g1_db18723a-231b-11ed-b24f-6dbe51e79fca_3411.txt", "TXT")</f>
        <v/>
      </c>
    </row>
    <row r="1708">
      <c r="A1708" s="1" t="n">
        <v>1706</v>
      </c>
      <c r="B1708" t="n">
        <v>2019</v>
      </c>
      <c r="C1708" s="2" t="n">
        <v>43514.51494212963</v>
      </c>
      <c r="D1708" t="inlineStr">
        <is>
          <t>A CRITICA</t>
        </is>
      </c>
      <c r="E1708" t="inlineStr">
        <is>
          <t>VENEZUELANOS</t>
        </is>
      </c>
      <c r="F1708" t="inlineStr"/>
      <c r="G1708" t="inlineStr">
        <is>
          <t>AGÊNCIA BRASIL</t>
        </is>
      </c>
      <c r="H1708" t="inlineStr">
        <is>
          <t>DELEGAÇÃO DA VENEZUELA E DOS EUA VAI À FRONTEIRA VER AJUDA HUMANITÁRIA</t>
        </is>
      </c>
      <c r="I1708" t="inlineStr">
        <is>
          <t>O PRESIDENTE INTERINO DA VENEZUELA, JUAN GUAIDÓ, OPOSIÇÃO AO GOVERNO DE NICOLÁS MADURO, FAZ CAMPANHA PARA ANGARIAR AJUDA HUMANITÁRIA INTERNACIONAL</t>
        </is>
      </c>
      <c r="J1708">
        <f>HYPERLINK("https://www.acritica.com/delegac-o-da-venezuela-e-dos-eua-vai-a-fronteira-ver-ajuda-humanitaria-1.74489", "URL")</f>
        <v/>
      </c>
      <c r="K1708">
        <f>HYPERLINK("https://raw.githubusercontent.com/marcosmapl/dataset_imigrantes/main/noticias_filtered/a_critica/venezuelanos/2019/01_fev/html/1.74489_967.html", "HTML")</f>
        <v/>
      </c>
      <c r="L1708">
        <f>HYPERLINK("https://raw.githubusercontent.com/marcosmapl/dataset_imigrantes/main/noticias_filtered/a_critica/venezuelanos/2019/01_fev/txt/1.74489_967.txt", "TXT")</f>
        <v/>
      </c>
    </row>
    <row r="1709">
      <c r="A1709" s="1" t="n">
        <v>1707</v>
      </c>
      <c r="B1709" t="n">
        <v>2019</v>
      </c>
      <c r="C1709" s="2" t="n">
        <v>43511.94117546296</v>
      </c>
      <c r="D1709" t="inlineStr">
        <is>
          <t>G1</t>
        </is>
      </c>
      <c r="E1709" t="inlineStr">
        <is>
          <t>VENEZUELANOS</t>
        </is>
      </c>
      <c r="F1709" t="inlineStr">
        <is>
          <t>MINAS GERAIS</t>
        </is>
      </c>
      <c r="G1709" t="inlineStr">
        <is>
          <t>G1 MINAS — BELO HORIZONTE</t>
        </is>
      </c>
      <c r="H1709" t="inlineStr">
        <is>
          <t>BH RECEBE PRIMEIRO GRUPO DE REFUGIADOS VENEZUELANOS</t>
        </is>
      </c>
      <c r="I1709" t="inlineStr">
        <is>
          <t>A INICIATIVA FAZ PARTE DO PROJETO “ACOLHE MINAS”, REALIZADO PELA ARQUIDIOCESE DE BELO HORIZONTE E SERVIÇO JESUÍTA A MIGRANTES E REFUGIADOS, COM APOIO DO ALTO COMISSARIADO DA ONU PARA REFUGIADOS.</t>
        </is>
      </c>
      <c r="J1709">
        <f>HYPERLINK("https://g1.globo.com/mg/minas-gerais/noticia/2019/02/15/bh-recebe-primeiro-grupo-de-refugiados-venezuelanos.ghtml", "URL")</f>
        <v/>
      </c>
      <c r="K1709">
        <f>HYPERLINK("https://raw.githubusercontent.com/marcosmapl/dataset_imigrantes/main/noticias_filtered/g1/venezuelanos/2019/01_fev/html/g1_32389876-231f-11ed-b24f-6dbe51e79fca_3608.html", "HTML")</f>
        <v/>
      </c>
      <c r="L1709">
        <f>HYPERLINK("https://raw.githubusercontent.com/marcosmapl/dataset_imigrantes/main/noticias_filtered/g1/venezuelanos/2019/01_fev/txt/g1_32389876-231f-11ed-b24f-6dbe51e79fca_3608.txt", "TXT")</f>
        <v/>
      </c>
    </row>
    <row r="1710">
      <c r="A1710" s="1" t="n">
        <v>1708</v>
      </c>
      <c r="B1710" t="n">
        <v>2019</v>
      </c>
      <c r="C1710" s="2" t="n">
        <v>43511.77569444444</v>
      </c>
      <c r="D1710" t="inlineStr">
        <is>
          <t>PORTAL AMAZONIA</t>
        </is>
      </c>
      <c r="E1710" t="inlineStr">
        <is>
          <t>VENEZUELANOS</t>
        </is>
      </c>
      <c r="F1710" t="inlineStr">
        <is>
          <t>CIDADES</t>
        </is>
      </c>
      <c r="G1710" t="inlineStr">
        <is>
          <t>REDAÇÃO</t>
        </is>
      </c>
      <c r="H1710" t="inlineStr">
        <is>
          <t>VENEZUELANOS DEIXAM RORAIMA E SEGUEM PARA OITO CIDADES NO PAÍS</t>
        </is>
      </c>
      <c r="I1710" t="inlineStr">
        <is>
          <t>COM UM ANO DE FUNCIONAMENTO, O PROCESSO DE INTERIORIZAÇÃO DE VENEZUELANOS QUE IMIGRARAM PARA O BRASIL CHEGA HOJE (15) À 24ª ETAPA. MAIS 226 PESSOAS SERÃO TRANSFERIDAS ATÉ AMANHÃ (16) DE BOA VISTA, EM RORAIMA, PARA OITO CIDADES NO PAÍS: PORTO ALEGRE,</t>
        </is>
      </c>
      <c r="J1710">
        <f>HYPERLINK("https://portalamazonia.com/noticias/cidades/venezuelanos-deixam-roraima-e-seguem-para-oito-cidades-no-pais", "URL")</f>
        <v/>
      </c>
      <c r="K1710">
        <f>HYPERLINK("https://raw.githubusercontent.com/marcosmapl/dataset_imigrantes/main/noticias_filtered/portal_amazonia/venezuelanos/2019/01_fev/html/17040.17040_1583.html", "HTML")</f>
        <v/>
      </c>
      <c r="L1710">
        <f>HYPERLINK("https://raw.githubusercontent.com/marcosmapl/dataset_imigrantes/main/noticias_filtered/portal_amazonia/venezuelanos/2019/01_fev/txt/17040.17040_1583.txt", "TXT")</f>
        <v/>
      </c>
    </row>
    <row r="1711">
      <c r="A1711" s="1" t="n">
        <v>1709</v>
      </c>
      <c r="B1711" t="n">
        <v>2019</v>
      </c>
      <c r="C1711" s="2" t="n">
        <v>43511.70002929398</v>
      </c>
      <c r="D1711" t="inlineStr">
        <is>
          <t>G1</t>
        </is>
      </c>
      <c r="E1711" t="inlineStr">
        <is>
          <t>AMBOS</t>
        </is>
      </c>
      <c r="F1711" t="inlineStr">
        <is>
          <t>RORAIMA</t>
        </is>
      </c>
      <c r="G1711" t="inlineStr">
        <is>
          <t>G1 RR — BOA VISTA</t>
        </is>
      </c>
      <c r="H1711" t="inlineStr">
        <is>
          <t>SUSPEITO DE FURTO TENTA FUGIR ESCALANDO TELHADOS, MAS É DETIDO EM BOA VISTA</t>
        </is>
      </c>
      <c r="I1711" t="inlineStr">
        <is>
          <t>ELE E COMPARSA ASSALTARAM ADOLESCENTE E FORAM PEGOS POR MORADORES; NA PERSEGUIÇÃO COMPARSA ESCAPOU.</t>
        </is>
      </c>
      <c r="J1711">
        <f>HYPERLINK("https://g1.globo.com/rr/roraima/noticia/2019/02/15/suspeito-de-furto-tenta-fugir-escalando-telhados-mas-e-detido-em-boa-vista.ghtml", "URL")</f>
        <v/>
      </c>
      <c r="K1711">
        <f>HYPERLINK("https://raw.githubusercontent.com/marcosmapl/dataset_imigrantes/main/noticias_filtered/g1/ambos/2019/01_fev/html/g1_8fc7cf2a-2329-11ed-b24f-6dbe51e79fca_4124.html", "HTML")</f>
        <v/>
      </c>
      <c r="L1711">
        <f>HYPERLINK("https://raw.githubusercontent.com/marcosmapl/dataset_imigrantes/main/noticias_filtered/g1/ambos/2019/01_fev/txt/g1_8fc7cf2a-2329-11ed-b24f-6dbe51e79fca_4124.txt", "TXT")</f>
        <v/>
      </c>
    </row>
    <row r="1712">
      <c r="A1712" s="1" t="n">
        <v>1710</v>
      </c>
      <c r="B1712" t="n">
        <v>2019</v>
      </c>
      <c r="C1712" s="2" t="n">
        <v>43511.49532407407</v>
      </c>
      <c r="D1712" t="inlineStr">
        <is>
          <t>A CRITICA</t>
        </is>
      </c>
      <c r="E1712" t="inlineStr">
        <is>
          <t>VENEZUELANOS</t>
        </is>
      </c>
      <c r="F1712" t="inlineStr"/>
      <c r="G1712" t="inlineStr">
        <is>
          <t>LETYCIA BOND (AGÊNCIA BRASIL)</t>
        </is>
      </c>
      <c r="H1712" t="inlineStr">
        <is>
          <t>PROCESSO DE INTERIORIZAÇÃO TRANSFERE 226 VENEZUELANOS PARA OITO CIDADES NO PAÍS</t>
        </is>
      </c>
      <c r="I1712" t="inlineStr">
        <is>
          <t>REFUGIADOS SÃO LEVADOS DE BOA VISTA, EM RORAIMA, PARA PORTO ALEGRE, CAXIAS DO SUL, CURITIBA, GOIOERÊ, GUARULHOS, SÃO PAULO, BELO HORIZONTE E RIO DE JANEIRO</t>
        </is>
      </c>
      <c r="J1712">
        <f>HYPERLINK("https://www.acritica.com/processo-de-interiorizac-o-transfere-226-venezuelanos-para-oito-cidades-no-pais-1.74398", "URL")</f>
        <v/>
      </c>
      <c r="K1712">
        <f>HYPERLINK("https://raw.githubusercontent.com/marcosmapl/dataset_imigrantes/main/noticias_filtered/a_critica/venezuelanos/2019/01_fev/html/1.74398_420.html", "HTML")</f>
        <v/>
      </c>
      <c r="L1712">
        <f>HYPERLINK("https://raw.githubusercontent.com/marcosmapl/dataset_imigrantes/main/noticias_filtered/a_critica/venezuelanos/2019/01_fev/txt/1.74398_420.txt", "TXT")</f>
        <v/>
      </c>
    </row>
    <row r="1713">
      <c r="A1713" s="1" t="n">
        <v>1711</v>
      </c>
      <c r="B1713" t="n">
        <v>2019</v>
      </c>
      <c r="C1713" s="2" t="n">
        <v>43511.43706524306</v>
      </c>
      <c r="D1713" t="inlineStr">
        <is>
          <t>G1</t>
        </is>
      </c>
      <c r="E1713" t="inlineStr">
        <is>
          <t>HAITIANOS</t>
        </is>
      </c>
      <c r="F1713" t="inlineStr">
        <is>
          <t>MUNDO</t>
        </is>
      </c>
      <c r="G1713" t="inlineStr">
        <is>
          <t>G1</t>
        </is>
      </c>
      <c r="H1713" t="inlineStr">
        <is>
          <t>PRESIDENTE DO HAITI ROMPE SILÊNCIO APÓS SEMANA DE PROTESTOS VIOLENTOS</t>
        </is>
      </c>
      <c r="I1713" t="inlineStr">
        <is>
          <t>DESDE 7 DE FEVEREIRO, SETE PESSOAS MORRERAM NAS MANIFESTAÇÕES QUE PEDEM A RENÚNCIA DE JOVENEL MOÏSE.</t>
        </is>
      </c>
      <c r="J1713">
        <f>HYPERLINK("https://g1.globo.com/mundo/noticia/2019/02/15/presidente-do-haiti-rompe-silencio-apos-semana-de-protestos-violentoss.ghtml", "URL")</f>
        <v/>
      </c>
      <c r="K1713">
        <f>HYPERLINK("https://raw.githubusercontent.com/marcosmapl/dataset_imigrantes/main/noticias_filtered/g1/haitianos/2019/01_fev/html/g1_6bc5447a-231c-11ed-b24f-6dbe51e79fca_3445.html", "HTML")</f>
        <v/>
      </c>
      <c r="L1713">
        <f>HYPERLINK("https://raw.githubusercontent.com/marcosmapl/dataset_imigrantes/main/noticias_filtered/g1/haitianos/2019/01_fev/txt/g1_6bc5447a-231c-11ed-b24f-6dbe51e79fca_3445.txt", "TXT")</f>
        <v/>
      </c>
    </row>
    <row r="1714">
      <c r="A1714" s="1" t="n">
        <v>1712</v>
      </c>
      <c r="B1714" t="n">
        <v>2019</v>
      </c>
      <c r="C1714" s="2" t="n">
        <v>43511.29216907408</v>
      </c>
      <c r="D1714" t="inlineStr">
        <is>
          <t>G1</t>
        </is>
      </c>
      <c r="E1714" t="inlineStr">
        <is>
          <t>HAITIANOS</t>
        </is>
      </c>
      <c r="F1714" t="inlineStr">
        <is>
          <t>EDUCAÇÃO</t>
        </is>
      </c>
      <c r="G1714" t="inlineStr">
        <is>
          <t>ANA CAROLINA MORENO, G1</t>
        </is>
      </c>
      <c r="H1714" t="inlineStr">
        <is>
          <t>A BRASILEIRA QUE DRIBLOU AS DÍVIDAS E A SOLIDÃO PARA TROCAR DE CARREIRA E VIROU CINEASTA PREMIADA NOS EUA</t>
        </is>
      </c>
      <c r="I1714" t="inlineStr">
        <is>
          <t>NA SÉRIE 'TRABALHAR NO EXTERIOR', O GUIA DE CARREIRAS DO G1 ENTREVISTA BRASILEIROS QUE FIZERAM A GRADUAÇÃO NO PAÍS, MAS HOJE SEGUEM CARREIRA EM OUTRAS PARTES DO MUNDO. CONHEÇA A HISTÓRIA DA CATARINENSE JULIANA SAKAE, QUE PRODUZ E DIRIGE DOCUMENTÁRIOS EM LOS ANGELES.</t>
        </is>
      </c>
      <c r="J1714">
        <f>HYPERLINK("https://g1.globo.com/educacao/guia-de-carreiras/noticia/2019/02/15/a-brasileira-que-driblou-as-dividas-e-a-solidao-para-trocar-de-carreira-e-virou-cineasta-premiada-nos-eua.ghtml", "URL")</f>
        <v/>
      </c>
      <c r="K1714">
        <f>HYPERLINK("https://raw.githubusercontent.com/marcosmapl/dataset_imigrantes/main/noticias_filtered/g1/haitianos/2019/01_fev/html/g1_476a5c46-2321-11ed-b24f-6dbe51e79fca_3690.html", "HTML")</f>
        <v/>
      </c>
      <c r="L1714">
        <f>HYPERLINK("https://raw.githubusercontent.com/marcosmapl/dataset_imigrantes/main/noticias_filtered/g1/haitianos/2019/01_fev/txt/g1_476a5c46-2321-11ed-b24f-6dbe51e79fca_3690.txt", "TXT")</f>
        <v/>
      </c>
    </row>
    <row r="1715">
      <c r="A1715" s="1" t="n">
        <v>1713</v>
      </c>
      <c r="B1715" t="n">
        <v>2019</v>
      </c>
      <c r="C1715" s="2" t="n">
        <v>43508.65874090278</v>
      </c>
      <c r="D1715" t="inlineStr">
        <is>
          <t>G1</t>
        </is>
      </c>
      <c r="E1715" t="inlineStr">
        <is>
          <t>HAITIANOS</t>
        </is>
      </c>
      <c r="F1715" t="inlineStr">
        <is>
          <t>MATO GROSSO</t>
        </is>
      </c>
      <c r="G1715" t="inlineStr">
        <is>
          <t>G1 MT</t>
        </is>
      </c>
      <c r="H1715" t="inlineStr">
        <is>
          <t>HAITIANO QUE TRANCOU MEDICINA APÓS TERREMOTO CURSA ENGENHARIA EM MT, FAZ AULA DE MÚSICA E SONHA TOCAR EM ORQUESTRA</t>
        </is>
      </c>
      <c r="I1715" t="inlineStr">
        <is>
          <t>LONGE DA FAMÍLIA E DOS AMIGOS QUE DEIXOU NO HAITI, RONY GUERISMA CONSIDERA A MÚSICA A COISA MAIS IMPORTANTE QUE ELE TEM NO BRASIL. ELE GANHOU UM SAXOFONE DE PRESENTE E FAZ AULAS.</t>
        </is>
      </c>
      <c r="J1715">
        <f>HYPERLINK("https://g1.globo.com/mt/mato-grosso/noticia/2019/02/12/haitiano-que-deixou-a-faculdade-de-medicina-apos-terremoto-cursa-engenharia-em-mt-aprende-musica-e-sonha-tocar-em-orquestra.ghtml", "URL")</f>
        <v/>
      </c>
      <c r="K1715">
        <f>HYPERLINK("https://raw.githubusercontent.com/marcosmapl/dataset_imigrantes/main/noticias_filtered/g1/haitianos/2019/01_fev/html/g1_46494b6c-22f7-11ed-b24f-6dbe51e79fca_2068.html", "HTML")</f>
        <v/>
      </c>
      <c r="L1715">
        <f>HYPERLINK("https://raw.githubusercontent.com/marcosmapl/dataset_imigrantes/main/noticias_filtered/g1/haitianos/2019/01_fev/txt/g1_46494b6c-22f7-11ed-b24f-6dbe51e79fca_2068.txt", "TXT")</f>
        <v/>
      </c>
    </row>
    <row r="1716">
      <c r="A1716" s="1" t="n">
        <v>1714</v>
      </c>
      <c r="B1716" t="n">
        <v>2019</v>
      </c>
      <c r="C1716" s="2" t="n">
        <v>43508.61458333334</v>
      </c>
      <c r="D1716" t="inlineStr">
        <is>
          <t>PORTAL AMAZONIA</t>
        </is>
      </c>
      <c r="E1716" t="inlineStr">
        <is>
          <t>VENEZUELANOS</t>
        </is>
      </c>
      <c r="F1716" t="inlineStr">
        <is>
          <t>CIDADES</t>
        </is>
      </c>
      <c r="G1716" t="inlineStr">
        <is>
          <t>REDAÇÃO</t>
        </is>
      </c>
      <c r="H1716" t="inlineStr">
        <is>
          <t>PRESENÇA DA FORÇA NACIONAL EM RORAIMA É PRORROGADA POR MAIS DOIS MESES</t>
        </is>
      </c>
      <c r="I1716" t="inlineStr">
        <is>
          <t>A PERMANÊNCIA DA FORÇA NACIONAL E DA FORÇA TAREFA DE INTERVENÇÃO PENITENCIÁRIA (FTIP) EM RORAIMA FOI PRORROGADA ATÉ O DIA 28 DE ABRIL. AS PORTARIAS, AUTORIZADAS PELO MINISTRO DA JUSTIÇA DE SEGURANÇA PÚBLICA SÉRGIO MORO, FORAM PUBLICADAS NO DIÁRIO OFI</t>
        </is>
      </c>
      <c r="J1716">
        <f>HYPERLINK("https://portalamazonia.com/noticias/cidades/presenca-da-forca-nacional-em-roraima-e-prorrogada-por-mais-dois-meses", "URL")</f>
        <v/>
      </c>
      <c r="K1716">
        <f>HYPERLINK("https://raw.githubusercontent.com/marcosmapl/dataset_imigrantes/main/noticias_filtered/portal_amazonia/venezuelanos/2019/01_fev/html/16997.16997_1535.html", "HTML")</f>
        <v/>
      </c>
      <c r="L1716">
        <f>HYPERLINK("https://raw.githubusercontent.com/marcosmapl/dataset_imigrantes/main/noticias_filtered/portal_amazonia/venezuelanos/2019/01_fev/txt/16997.16997_1535.txt", "TXT")</f>
        <v/>
      </c>
    </row>
    <row r="1717">
      <c r="A1717" s="1" t="n">
        <v>1715</v>
      </c>
      <c r="B1717" t="n">
        <v>2019</v>
      </c>
      <c r="C1717" s="2" t="n">
        <v>43508.469375</v>
      </c>
      <c r="D1717" t="inlineStr">
        <is>
          <t>A CRITICA</t>
        </is>
      </c>
      <c r="E1717" t="inlineStr">
        <is>
          <t>VENEZUELANOS</t>
        </is>
      </c>
      <c r="F1717" t="inlineStr"/>
      <c r="G1717" t="inlineStr">
        <is>
          <t>AGÊNCIA BRASIL</t>
        </is>
      </c>
      <c r="H1717" t="inlineStr">
        <is>
          <t>GUAIDÓ CONVOCA MANIFESTAÇÃO EM FAVOR DE AJUDA HUMANITÁRIA NA VENEZUELA</t>
        </is>
      </c>
      <c r="I1717" t="inlineStr">
        <is>
          <t>ELE PEDIU QUE AS PESSOAS SAIAM ÀS RUAS E APELEM POR SEUS DIREITOS. EM MEIO À CRISE POLÍTICA NO PAÍS, HÁ DIFICULDADES PARA QUE AS DOAÇÕES CHEGUEM AOS MAIS NECESSITADOS</t>
        </is>
      </c>
      <c r="J1717">
        <f>HYPERLINK("https://www.acritica.com/guaido-convoca-manifestac-o-em-favor-de-ajuda-humanitaria-na-venezuela-1.74120", "URL")</f>
        <v/>
      </c>
      <c r="K1717">
        <f>HYPERLINK("https://raw.githubusercontent.com/marcosmapl/dataset_imigrantes/main/noticias_filtered/a_critica/venezuelanos/2019/01_fev/html/1.74120_68.html", "HTML")</f>
        <v/>
      </c>
      <c r="L1717">
        <f>HYPERLINK("https://raw.githubusercontent.com/marcosmapl/dataset_imigrantes/main/noticias_filtered/a_critica/venezuelanos/2019/01_fev/txt/1.74120_68.txt", "TXT")</f>
        <v/>
      </c>
    </row>
    <row r="1718">
      <c r="A1718" s="1" t="n">
        <v>1716</v>
      </c>
      <c r="B1718" t="n">
        <v>2019</v>
      </c>
      <c r="C1718" s="2" t="n">
        <v>43507.79889296296</v>
      </c>
      <c r="D1718" t="inlineStr">
        <is>
          <t>G1</t>
        </is>
      </c>
      <c r="E1718" t="inlineStr">
        <is>
          <t>VENEZUELANOS</t>
        </is>
      </c>
      <c r="F1718" t="inlineStr">
        <is>
          <t>MUNDO</t>
        </is>
      </c>
      <c r="G1718" t="inlineStr">
        <is>
          <t>AGÊNCIA EFE</t>
        </is>
      </c>
      <c r="H1718" t="inlineStr">
        <is>
          <t>CONTROLADORIA VENEZUELANA AUDITARÁ GUAIDÓ POR DEPÓSITOS 'SEM JUSTIFICATIVA'</t>
        </is>
      </c>
      <c r="I1718" t="inlineStr">
        <is>
          <t>SEGUNDO O ÓRGÃO DO GOVERNO DE MADURO, OPOSICIONISTA 'SUPOSTAMENTE OCULTOU, FALSEOU DADOS CONTIDOS NA SUA DECLARAÇÃO JURAMENTADA DE PATRIMÔNIO E RECEBEU DINHEIRO PROVENIENTE DE INSTÂNCIAS INTERNACIONAIS E NACIONAIS SEM NENHUM TIPO DE JUSTIFICATIVA'.</t>
        </is>
      </c>
      <c r="J1718">
        <f>HYPERLINK("https://g1.globo.com/mundo/noticia/2019/02/11/controladoria-venezuelana-auditara-guaido-por-depositos-sem-justificativa.ghtml", "URL")</f>
        <v/>
      </c>
      <c r="K1718">
        <f>HYPERLINK("https://raw.githubusercontent.com/marcosmapl/dataset_imigrantes/main/noticias_filtered/g1/venezuelanos/2019/01_fev/html/g1_2916d1ec-2318-11ed-b24f-6dbe51e79fca_3246.html", "HTML")</f>
        <v/>
      </c>
      <c r="L1718">
        <f>HYPERLINK("https://raw.githubusercontent.com/marcosmapl/dataset_imigrantes/main/noticias_filtered/g1/venezuelanos/2019/01_fev/txt/g1_2916d1ec-2318-11ed-b24f-6dbe51e79fca_3246.txt", "TXT")</f>
        <v/>
      </c>
    </row>
    <row r="1719">
      <c r="A1719" s="1" t="n">
        <v>1717</v>
      </c>
      <c r="B1719" t="n">
        <v>2019</v>
      </c>
      <c r="C1719" s="2" t="n">
        <v>43506.56052773148</v>
      </c>
      <c r="D1719" t="inlineStr">
        <is>
          <t>G1</t>
        </is>
      </c>
      <c r="E1719" t="inlineStr">
        <is>
          <t>HAITIANOS</t>
        </is>
      </c>
      <c r="F1719" t="inlineStr">
        <is>
          <t>MUNDO</t>
        </is>
      </c>
      <c r="G1719" t="inlineStr">
        <is>
          <t>FRANCE PRESSE</t>
        </is>
      </c>
      <c r="H1719" t="inlineStr">
        <is>
          <t>TERCEIRO DIA DE PROTESTOS NO HAITI TERMINA COM UM MORTO E UM FERIDO</t>
        </is>
      </c>
      <c r="I1719" t="inlineStr">
        <is>
          <t>MANIFESTANTES PEDEM A SAÍDA DO PRESIDENTE HAITIANO, JOVENEL MOÏSE.</t>
        </is>
      </c>
      <c r="J1719">
        <f>HYPERLINK("https://g1.globo.com/mundo/noticia/2019/02/10/terceiro-dia-de-protestos-no-haiti-termina-com-um-morto-e-um-ferido.ghtml", "URL")</f>
        <v/>
      </c>
      <c r="K1719">
        <f>HYPERLINK("https://raw.githubusercontent.com/marcosmapl/dataset_imigrantes/main/noticias_filtered/g1/haitianos/2019/01_fev/html/g1_4f78fd96-2319-11ed-b24f-6dbe51e79fca_3309.html", "HTML")</f>
        <v/>
      </c>
      <c r="L1719">
        <f>HYPERLINK("https://raw.githubusercontent.com/marcosmapl/dataset_imigrantes/main/noticias_filtered/g1/haitianos/2019/01_fev/txt/g1_4f78fd96-2319-11ed-b24f-6dbe51e79fca_3309.txt", "TXT")</f>
        <v/>
      </c>
    </row>
    <row r="1720">
      <c r="A1720" s="1" t="n">
        <v>1718</v>
      </c>
      <c r="B1720" t="n">
        <v>2019</v>
      </c>
      <c r="C1720" s="2" t="n">
        <v>43505.61052508102</v>
      </c>
      <c r="D1720" t="inlineStr">
        <is>
          <t>G1</t>
        </is>
      </c>
      <c r="E1720" t="inlineStr">
        <is>
          <t>VENEZUELANOS</t>
        </is>
      </c>
      <c r="F1720" t="inlineStr">
        <is>
          <t>RORAIMA</t>
        </is>
      </c>
      <c r="G1720" t="inlineStr">
        <is>
          <t>G1 RR — BOA VISTA</t>
        </is>
      </c>
      <c r="H1720" t="inlineStr">
        <is>
          <t>VIGILANTE ATIRA EM VENEZUELANO SUSPEITO DE FURTO EM PACARAIMA, RR</t>
        </is>
      </c>
      <c r="I1720" t="inlineStr">
        <is>
          <t>SUSPEITO TERIA SIDO FLAGRADO TENTANDO FURTAR CARRETA EM PÁTIO DA RECEITA FEDERAL. CASO DEVE SER APURADO PELA POLÍCIA FEDERAL.</t>
        </is>
      </c>
      <c r="J1720">
        <f>HYPERLINK("https://g1.globo.com/rr/roraima/noticia/2019/02/09/vigilante-atira-em-venezuelano-suspeito-de-furto-em-pacaraima-rr.ghtml", "URL")</f>
        <v/>
      </c>
      <c r="K1720">
        <f>HYPERLINK("https://raw.githubusercontent.com/marcosmapl/dataset_imigrantes/main/noticias_filtered/g1/venezuelanos/2019/01_fev/html/g1_1ffdb24c-2327-11ed-b24f-6dbe51e79fca_4019.html", "HTML")</f>
        <v/>
      </c>
      <c r="L1720">
        <f>HYPERLINK("https://raw.githubusercontent.com/marcosmapl/dataset_imigrantes/main/noticias_filtered/g1/venezuelanos/2019/01_fev/txt/g1_1ffdb24c-2327-11ed-b24f-6dbe51e79fca_4019.txt", "TXT")</f>
        <v/>
      </c>
    </row>
    <row r="1721">
      <c r="A1721" s="1" t="n">
        <v>1719</v>
      </c>
      <c r="B1721" t="n">
        <v>2019</v>
      </c>
      <c r="C1721" s="2" t="n">
        <v>43505.53409543981</v>
      </c>
      <c r="D1721" t="inlineStr">
        <is>
          <t>G1</t>
        </is>
      </c>
      <c r="E1721" t="inlineStr">
        <is>
          <t>VENEZUELANOS</t>
        </is>
      </c>
      <c r="F1721" t="inlineStr">
        <is>
          <t>MATO GROSSO DO SUL</t>
        </is>
      </c>
      <c r="G1721" t="inlineStr">
        <is>
          <t>FLÁVIO DIAS, G1MS — CAMPO GRANDE</t>
        </is>
      </c>
      <c r="H1721" t="inlineStr">
        <is>
          <t>VENEZUELANO PEDE EMPREGO NA RUA EM MS: 'NÃO TENHO COMIDA PARA MEU FILHO MAS QUERO TRABALHAR PARA COMPRAR'</t>
        </is>
      </c>
      <c r="I1721" t="inlineStr">
        <is>
          <t>MESMO ENFRENTANDO DIFICULDADES NO BRASIL, A FAMÍLIA NÃO QUER VOLTAR À VENEZUELA: "AS PESSOAS SE MATAM POR UM FRANGO E ÀS VEZES UMA FILA PARA COMPRAR ARROZ DEMORA UMA SEMANA".</t>
        </is>
      </c>
      <c r="J1721">
        <f>HYPERLINK("https://g1.globo.com/ms/mato-grosso-do-sul/noticia/2019/02/09/venezuelano-pede-emprego-na-rua-em-ms-nao-tenho-comida-para-meu-filho-mas-quero-trabalhar-para-comprar.ghtml", "URL")</f>
        <v/>
      </c>
      <c r="K1721">
        <f>HYPERLINK("https://raw.githubusercontent.com/marcosmapl/dataset_imigrantes/main/noticias_filtered/g1/venezuelanos/2019/01_fev/html/g1_c62bd7a8-232b-11ed-b24f-6dbe51e79fca_4269.html", "HTML")</f>
        <v/>
      </c>
      <c r="L1721">
        <f>HYPERLINK("https://raw.githubusercontent.com/marcosmapl/dataset_imigrantes/main/noticias_filtered/g1/venezuelanos/2019/01_fev/txt/g1_c62bd7a8-232b-11ed-b24f-6dbe51e79fca_4269.txt", "TXT")</f>
        <v/>
      </c>
    </row>
    <row r="1722">
      <c r="A1722" s="1" t="n">
        <v>1720</v>
      </c>
      <c r="B1722" t="n">
        <v>2019</v>
      </c>
      <c r="C1722" s="2" t="n">
        <v>43505.49821759259</v>
      </c>
      <c r="D1722" t="inlineStr">
        <is>
          <t>A CRITICA</t>
        </is>
      </c>
      <c r="E1722" t="inlineStr">
        <is>
          <t>VENEZUELANOS</t>
        </is>
      </c>
      <c r="F1722" t="inlineStr"/>
      <c r="G1722" t="inlineStr">
        <is>
          <t>ALEXANDER MARTINEZ / AFP</t>
        </is>
      </c>
      <c r="H1722" t="inlineStr">
        <is>
          <t>'FAREMOS TUDO QUE FOR NECESSÁRIO PARA SALVAR VIDAS', DIZ OPOSITOR DE MADURO</t>
        </is>
      </c>
      <c r="I1722" t="inlineStr">
        <is>
          <t>AUTOPROCLAMADO PRESIDENTE, O PARLAMENTAR NÃO DESCARTA AUTORIZAR UMA INTERVENÇÃO NORTE-AMERICANA NA VENEZUELA PARA PERMITIR A REALIZAÇÃO DE ELEIÇÕES LIVRES</t>
        </is>
      </c>
      <c r="J1722">
        <f>HYPERLINK("https://www.acritica.com/faremos-tudo-que-for-necessario-para-salvar-vidas-diz-opositor-de-maduro-1.75487", "URL")</f>
        <v/>
      </c>
      <c r="K1722">
        <f>HYPERLINK("https://raw.githubusercontent.com/marcosmapl/dataset_imigrantes/main/noticias_filtered/a_critica/venezuelanos/2019/01_fev/html/1.75487_1354.html", "HTML")</f>
        <v/>
      </c>
      <c r="L1722">
        <f>HYPERLINK("https://raw.githubusercontent.com/marcosmapl/dataset_imigrantes/main/noticias_filtered/a_critica/venezuelanos/2019/01_fev/txt/1.75487_1354.txt", "TXT")</f>
        <v/>
      </c>
    </row>
    <row r="1723">
      <c r="A1723" s="1" t="n">
        <v>1721</v>
      </c>
      <c r="B1723" t="n">
        <v>2019</v>
      </c>
      <c r="C1723" s="2" t="n">
        <v>43504.45229442129</v>
      </c>
      <c r="D1723" t="inlineStr">
        <is>
          <t>G1</t>
        </is>
      </c>
      <c r="E1723" t="inlineStr">
        <is>
          <t>HAITIANOS</t>
        </is>
      </c>
      <c r="F1723" t="inlineStr">
        <is>
          <t>MUNDO</t>
        </is>
      </c>
      <c r="G1723" t="inlineStr">
        <is>
          <t>FRANCE PRESSE</t>
        </is>
      </c>
      <c r="H1723" t="inlineStr">
        <is>
          <t>MILHARES DE HAITIANOS PROTESTAM CONTRA A INFLAÇÃO E A CORRUPÇÃO</t>
        </is>
      </c>
      <c r="I1723" t="inlineStr">
        <is>
          <t>DUAS PESSOAS MORRERAM E 14 POLICIAIS FICARAM FERIDOS NOS PROTESTOS.</t>
        </is>
      </c>
      <c r="J1723">
        <f>HYPERLINK("https://g1.globo.com/mundo/noticia/2019/02/08/milhares-de-haitianos-protestam-contra-a-inflacao-e-a-corrupcao.ghtml", "URL")</f>
        <v/>
      </c>
      <c r="K1723">
        <f>HYPERLINK("https://raw.githubusercontent.com/marcosmapl/dataset_imigrantes/main/noticias_filtered/g1/haitianos/2019/01_fev/html/g1_3d561b58-22f1-11ed-b24f-6dbe51e79fca_1741.html", "HTML")</f>
        <v/>
      </c>
      <c r="L1723">
        <f>HYPERLINK("https://raw.githubusercontent.com/marcosmapl/dataset_imigrantes/main/noticias_filtered/g1/haitianos/2019/01_fev/txt/g1_3d561b58-22f1-11ed-b24f-6dbe51e79fca_1741.txt", "TXT")</f>
        <v/>
      </c>
    </row>
    <row r="1724">
      <c r="A1724" s="1" t="n">
        <v>1722</v>
      </c>
      <c r="B1724" t="n">
        <v>2019</v>
      </c>
      <c r="C1724" s="2" t="n">
        <v>43502.95820601852</v>
      </c>
      <c r="D1724" t="inlineStr">
        <is>
          <t>A CRITICA</t>
        </is>
      </c>
      <c r="E1724" t="inlineStr">
        <is>
          <t>VENEZUELANOS</t>
        </is>
      </c>
      <c r="F1724" t="inlineStr">
        <is>
          <t>MANAUS</t>
        </is>
      </c>
      <c r="G1724" t="inlineStr">
        <is>
          <t>ACRÍTICA.COM</t>
        </is>
      </c>
      <c r="H1724" t="inlineStr">
        <is>
          <t>INDÍGENAS VENEZUELANOS EM ABRIGO NO CENTRO ESTÃO COM SINTOMAS DE TUBERCULOSE</t>
        </is>
      </c>
      <c r="I1724" t="inlineStr">
        <is>
          <t>SEMSA TAMBÉM FEZ UMA AÇÃO EM ABRIGO DA ZONA NORTE, NESTA QUARTA-FEIRA (6), E  RESULTADO DOS EXAMES DEVE FICAR PRONTO EM ATÉ TRÊS DIAS</t>
        </is>
      </c>
      <c r="J1724">
        <f>HYPERLINK("https://www.acritica.com/manaus/indigenas-venezuelanos-em-abrigo-no-centro-est-o-com-sintomas-de-tuberculose-1.75807", "URL")</f>
        <v/>
      </c>
      <c r="K1724">
        <f>HYPERLINK("https://raw.githubusercontent.com/marcosmapl/dataset_imigrantes/main/noticias_filtered/a_critica/venezuelanos/2019/01_fev/html/1.75807_252.html", "HTML")</f>
        <v/>
      </c>
      <c r="L1724">
        <f>HYPERLINK("https://raw.githubusercontent.com/marcosmapl/dataset_imigrantes/main/noticias_filtered/a_critica/venezuelanos/2019/01_fev/txt/1.75807_252.txt", "TXT")</f>
        <v/>
      </c>
    </row>
    <row r="1725">
      <c r="A1725" s="1" t="n">
        <v>1723</v>
      </c>
      <c r="B1725" t="n">
        <v>2019</v>
      </c>
      <c r="C1725" s="2" t="n">
        <v>43500.48685185185</v>
      </c>
      <c r="D1725" t="inlineStr">
        <is>
          <t>A CRITICA</t>
        </is>
      </c>
      <c r="E1725" t="inlineStr">
        <is>
          <t>VENEZUELANOS</t>
        </is>
      </c>
      <c r="F1725" t="inlineStr">
        <is>
          <t>MANAUS</t>
        </is>
      </c>
      <c r="G1725" t="inlineStr">
        <is>
          <t>ACRÍTICA.COM</t>
        </is>
      </c>
      <c r="H1725" t="inlineStr">
        <is>
          <t>IGREJA OFERECE CURSO GRATUITO DE PORTUGUÊS PARA IMIGRANTES EM MANAUS</t>
        </is>
      </c>
      <c r="I1725" t="inlineStr">
        <is>
          <t>QUALQUER PESSOA DE OUTRA NACIONALIDADE PODE PARTICIPAR DO CURSO, INDEPENDENTEMENTE DA SITUAÇÃO MIGRATÓRIA. INSCRIÇÕES JÁ ESTÃO ABERTAS</t>
        </is>
      </c>
      <c r="J1725">
        <f>HYPERLINK("https://www.acritica.com/manaus/igreja-oferece-curso-gratuito-de-portugues-para-imigrantes-em-manaus-1.75938", "URL")</f>
        <v/>
      </c>
      <c r="K1725">
        <f>HYPERLINK("https://raw.githubusercontent.com/marcosmapl/dataset_imigrantes/main/noticias_filtered/a_critica/venezuelanos/2019/01_fev/html/1.75938_759.html", "HTML")</f>
        <v/>
      </c>
      <c r="L1725">
        <f>HYPERLINK("https://raw.githubusercontent.com/marcosmapl/dataset_imigrantes/main/noticias_filtered/a_critica/venezuelanos/2019/01_fev/txt/1.75938_759.txt", "TXT")</f>
        <v/>
      </c>
    </row>
    <row r="1726">
      <c r="A1726" s="1" t="n">
        <v>1724</v>
      </c>
      <c r="B1726" t="n">
        <v>2019</v>
      </c>
      <c r="C1726" s="2" t="n">
        <v>43499.58489583333</v>
      </c>
      <c r="D1726" t="inlineStr">
        <is>
          <t>A CRITICA</t>
        </is>
      </c>
      <c r="E1726" t="inlineStr">
        <is>
          <t>VENEZUELANOS</t>
        </is>
      </c>
      <c r="F1726" t="inlineStr"/>
      <c r="G1726" t="inlineStr">
        <is>
          <t>AFP</t>
        </is>
      </c>
      <c r="H1726" t="inlineStr">
        <is>
          <t>VENEZUELA: GUAIDÓ PRESSIONA MADURO COM ANÚNCIO DE AJUDA HUMANITÁRIA</t>
        </is>
      </c>
      <c r="I1726" t="inlineStr">
        <is>
          <t>NICOLÁS MADURO É CONTRÁRIO À MEDIDA POIS CONSIDERA QUE ESSA INICIATIVA ABRE CAMINHO PARA UMA INTERVENÇÃO MILITAR DOS ESTADOS UNIDOS.</t>
        </is>
      </c>
      <c r="J1726">
        <f>HYPERLINK("https://www.acritica.com/venezuela-guaido-pressiona-maduro-com-anuncio-de-ajuda-humanitaria-1.76294", "URL")</f>
        <v/>
      </c>
      <c r="K1726">
        <f>HYPERLINK("https://raw.githubusercontent.com/marcosmapl/dataset_imigrantes/main/noticias_filtered/a_critica/venezuelanos/2019/01_fev/html/1.76294_1267.html", "HTML")</f>
        <v/>
      </c>
      <c r="L1726">
        <f>HYPERLINK("https://raw.githubusercontent.com/marcosmapl/dataset_imigrantes/main/noticias_filtered/a_critica/venezuelanos/2019/01_fev/txt/1.76294_1267.txt", "TXT")</f>
        <v/>
      </c>
    </row>
    <row r="1727">
      <c r="A1727" s="1" t="n">
        <v>1725</v>
      </c>
      <c r="B1727" t="n">
        <v>2019</v>
      </c>
      <c r="C1727" s="2" t="n">
        <v>43498.79099537037</v>
      </c>
      <c r="D1727" t="inlineStr">
        <is>
          <t>A CRITICA</t>
        </is>
      </c>
      <c r="E1727" t="inlineStr">
        <is>
          <t>VENEZUELANOS</t>
        </is>
      </c>
      <c r="F1727" t="inlineStr"/>
      <c r="G1727" t="inlineStr">
        <is>
          <t>MONICA YANAKIEW (AGÊNCIA BRASIL)</t>
        </is>
      </c>
      <c r="H1727" t="inlineStr">
        <is>
          <t>BRASIL VAI SER UM DOS TRÊS PONTOS DE AJUDA HUMANITÁRIA À VENEZUELA</t>
        </is>
      </c>
      <c r="I1727" t="inlineStr">
        <is>
          <t>ANÚNCIO FOI FEITO, NESTE SÁBADO (2), PELO LÍDER OPOSICIONISTA VENEZUELANO JUAN GUAIDÓ</t>
        </is>
      </c>
      <c r="J1727">
        <f>HYPERLINK("https://www.acritica.com/brasil-vai-ser-um-dos-tres-pontos-de-ajuda-humanitaria-a-venezuela-1.76306", "URL")</f>
        <v/>
      </c>
      <c r="K1727">
        <f>HYPERLINK("https://raw.githubusercontent.com/marcosmapl/dataset_imigrantes/main/noticias_filtered/a_critica/venezuelanos/2019/01_fev/html/1.76306_417.html", "HTML")</f>
        <v/>
      </c>
      <c r="L1727">
        <f>HYPERLINK("https://raw.githubusercontent.com/marcosmapl/dataset_imigrantes/main/noticias_filtered/a_critica/venezuelanos/2019/01_fev/txt/1.76306_417.txt", "TXT")</f>
        <v/>
      </c>
    </row>
    <row r="1728">
      <c r="A1728" s="1" t="n">
        <v>1726</v>
      </c>
      <c r="B1728" t="n">
        <v>2019</v>
      </c>
      <c r="C1728" s="2" t="n">
        <v>43498.72916666666</v>
      </c>
      <c r="D1728" t="inlineStr">
        <is>
          <t>A CRITICA</t>
        </is>
      </c>
      <c r="E1728" t="inlineStr">
        <is>
          <t>AMBOS</t>
        </is>
      </c>
      <c r="F1728" t="inlineStr">
        <is>
          <t>MANAUS</t>
        </is>
      </c>
      <c r="G1728" t="inlineStr">
        <is>
          <t>LUIZ G. MELO</t>
        </is>
      </c>
      <c r="H1728" t="inlineStr">
        <is>
          <t>INTERIORANOS, INDÍGENAS E ESTRANGEIROS DIVIDEM SONHOS EM COMUNIDADE</t>
        </is>
      </c>
      <c r="I1728" t="inlineStr">
        <is>
          <t>MONTE HOREBE, NA ZONA NORTE DE MANAUS, REÚNE 400 ÍNDIOS, DE 30 ETNIAS DIFERENTES, 250 VENEZUELANOS E 600 HAITIANOS, SEGUNDO LEVANTAMENTO DA SECRETARIA DE POLÍTICA FUNDIÁRIA (SPF)</t>
        </is>
      </c>
      <c r="J1728">
        <f>HYPERLINK("https://www.acritica.com/manaus/interioranos-indigenas-e-estrangeiros-dividem-sonhos-em-comunidade-1.75979", "URL")</f>
        <v/>
      </c>
      <c r="K1728">
        <f>HYPERLINK("https://raw.githubusercontent.com/marcosmapl/dataset_imigrantes/main/noticias_filtered/a_critica/ambos/2019/01_fev/html/1.75979_1046.html", "HTML")</f>
        <v/>
      </c>
      <c r="L1728">
        <f>HYPERLINK("https://raw.githubusercontent.com/marcosmapl/dataset_imigrantes/main/noticias_filtered/a_critica/ambos/2019/01_fev/txt/1.75979_1046.txt", "TXT")</f>
        <v/>
      </c>
    </row>
    <row r="1729">
      <c r="A1729" s="1" t="n">
        <v>1727</v>
      </c>
      <c r="B1729" t="n">
        <v>2019</v>
      </c>
      <c r="C1729" s="2" t="n">
        <v>43498.58427604166</v>
      </c>
      <c r="D1729" t="inlineStr">
        <is>
          <t>G1</t>
        </is>
      </c>
      <c r="E1729" t="inlineStr">
        <is>
          <t>VENEZUELANOS</t>
        </is>
      </c>
      <c r="F1729" t="inlineStr">
        <is>
          <t>MUNDO</t>
        </is>
      </c>
      <c r="G1729" t="inlineStr">
        <is>
          <t>FRANCE PRESSE</t>
        </is>
      </c>
      <c r="H1729" t="inlineStr">
        <is>
          <t>GENERAL VENEZUELANO FRANCISCO YÁNEZ RECONHECE JUAN GUAIDÓ COMO PRESIDENTE INTERINO</t>
        </is>
      </c>
      <c r="I1729" t="inlineStr">
        <is>
          <t>'DESCONHEÇO A AUTORIDADE AUTORITÁRIA E DITATORIAL DE NICOLÁS MADURO', AFIRMOU O GENERAL EM VÍDEO EM QUE AINDA CONVOCA A POPULAÇÃO PARA IR ÀS RUAS.</t>
        </is>
      </c>
      <c r="J1729">
        <f>HYPERLINK("https://g1.globo.com/mundo/noticia/2019/02/02/general-venezuelano-francisco-yanez-reconhece-juan-guaido-como-presidente-interino.ghtml", "URL")</f>
        <v/>
      </c>
      <c r="K1729">
        <f>HYPERLINK("https://raw.githubusercontent.com/marcosmapl/dataset_imigrantes/main/noticias_filtered/g1/venezuelanos/2019/01_fev/html/g1_fd4732a2-230b-11ed-b24f-6dbe51e79fca_2601.html", "HTML")</f>
        <v/>
      </c>
      <c r="L1729">
        <f>HYPERLINK("https://raw.githubusercontent.com/marcosmapl/dataset_imigrantes/main/noticias_filtered/g1/venezuelanos/2019/01_fev/txt/g1_fd4732a2-230b-11ed-b24f-6dbe51e79fca_2601.txt", "TXT")</f>
        <v/>
      </c>
    </row>
    <row r="1730">
      <c r="A1730" s="1" t="n">
        <v>1728</v>
      </c>
      <c r="B1730" t="n">
        <v>2019</v>
      </c>
      <c r="C1730" s="2" t="n">
        <v>43498.42361111111</v>
      </c>
      <c r="D1730" t="inlineStr">
        <is>
          <t>A CRITICA</t>
        </is>
      </c>
      <c r="E1730" t="inlineStr">
        <is>
          <t>VENEZUELANOS</t>
        </is>
      </c>
      <c r="F1730" t="inlineStr">
        <is>
          <t>OPINIAO</t>
        </is>
      </c>
      <c r="G1730" t="inlineStr"/>
      <c r="H1730" t="inlineStr">
        <is>
          <t>A VENEZUELA EM DISPUTA</t>
        </is>
      </c>
      <c r="I1730" t="inlineStr"/>
      <c r="J1730">
        <f>HYPERLINK("https://www.acritica.com/opiniao/a-venezuela-em-disputa-1.223952", "URL")</f>
        <v/>
      </c>
      <c r="K1730">
        <f>HYPERLINK("https://raw.githubusercontent.com/marcosmapl/dataset_imigrantes/main/noticias_filtered/a_critica/venezuelanos/2019/01_fev/html/1.223952_163.html", "HTML")</f>
        <v/>
      </c>
      <c r="L1730">
        <f>HYPERLINK("https://raw.githubusercontent.com/marcosmapl/dataset_imigrantes/main/noticias_filtered/a_critica/venezuelanos/2019/01_fev/txt/1.223952_163.txt", "TXT")</f>
        <v/>
      </c>
    </row>
    <row r="1731">
      <c r="A1731" s="1" t="n">
        <v>1729</v>
      </c>
      <c r="B1731" t="n">
        <v>2019</v>
      </c>
      <c r="C1731" s="2" t="n">
        <v>43497.93704857639</v>
      </c>
      <c r="D1731" t="inlineStr">
        <is>
          <t>G1</t>
        </is>
      </c>
      <c r="E1731" t="inlineStr">
        <is>
          <t>VENEZUELANOS</t>
        </is>
      </c>
      <c r="F1731" t="inlineStr">
        <is>
          <t>MATO GROSSO</t>
        </is>
      </c>
      <c r="G1731" t="inlineStr">
        <is>
          <t>RICARDO MELLO, TV CENTRO AMÉRICA</t>
        </is>
      </c>
      <c r="H1731" t="inlineStr">
        <is>
          <t>VENEZUELANOS DIZEM QUE DEMORA NA EMISSÃO DE DOCUMENTOS DIFICULTA TRABALHO, DIZEM VENEZUELANOS EM MT</t>
        </is>
      </c>
      <c r="I1731" t="inlineStr">
        <is>
          <t>POLÍCIA FEDERAL APONTA QUE 133 VENEZUELANOS TIVERAM OS DOCUMENTOS REGULARIZADOS NO ESTADO EM 2018. DESTES, 63 EM CUIABÁ.</t>
        </is>
      </c>
      <c r="J1731">
        <f>HYPERLINK("https://g1.globo.com/mt/mato-grosso/noticia/2019/02/01/venezuelanos-dizem-que-demora-na-emissao-de-documentos-dificulta-trabalho-dizem-venezuelanos-em-mt.ghtml", "URL")</f>
        <v/>
      </c>
      <c r="K1731">
        <f>HYPERLINK("https://raw.githubusercontent.com/marcosmapl/dataset_imigrantes/main/noticias_filtered/g1/venezuelanos/2019/01_fev/html/g1_f42675ca-2310-11ed-b24f-6dbe51e79fca_2887.html", "HTML")</f>
        <v/>
      </c>
      <c r="L1731">
        <f>HYPERLINK("https://raw.githubusercontent.com/marcosmapl/dataset_imigrantes/main/noticias_filtered/g1/venezuelanos/2019/01_fev/txt/g1_f42675ca-2310-11ed-b24f-6dbe51e79fca_2887.txt", "TXT")</f>
        <v/>
      </c>
    </row>
    <row r="1732">
      <c r="A1732" s="1" t="n">
        <v>1730</v>
      </c>
      <c r="B1732" t="n">
        <v>2019</v>
      </c>
      <c r="C1732" s="2" t="n">
        <v>43494.81625</v>
      </c>
      <c r="D1732" t="inlineStr">
        <is>
          <t>A CRITICA</t>
        </is>
      </c>
      <c r="E1732" t="inlineStr">
        <is>
          <t>HAITIANOS</t>
        </is>
      </c>
      <c r="F1732" t="inlineStr">
        <is>
          <t>MANAUS</t>
        </is>
      </c>
      <c r="G1732" t="inlineStr">
        <is>
          <t>ACRÍTICA.COM</t>
        </is>
      </c>
      <c r="H1732" t="inlineStr">
        <is>
          <t>VÍDEO MOSTRA MOMENTO EM QUE VENDEDOR DE DINDIN ATACA POLICIAL E É MORTO</t>
        </is>
      </c>
      <c r="I1732" t="inlineStr">
        <is>
          <t>AÇÃO DUROU POUCO MAIS DE 20 SEGUNDOS, NA AVENIDA DJALMA BATISTA.  HOMEM RESISTIU À ABORDAGEM E ATACOU POLICIAL COM UMA FACA E ACABOU MORTO COM UM TIRO</t>
        </is>
      </c>
      <c r="J1732">
        <f>HYPERLINK("https://www.acritica.com/manaus/video-mostra-momento-em-que-vendedor-de-dindin-ataca-policial-e-e-morto-1.76763", "URL")</f>
        <v/>
      </c>
      <c r="K1732">
        <f>HYPERLINK("https://raw.githubusercontent.com/marcosmapl/dataset_imigrantes/main/noticias_filtered/a_critica/haitianos/2019/00_jan/html/1.76763_1057.html", "HTML")</f>
        <v/>
      </c>
      <c r="L1732">
        <f>HYPERLINK("https://raw.githubusercontent.com/marcosmapl/dataset_imigrantes/main/noticias_filtered/a_critica/haitianos/2019/00_jan/txt/1.76763_1057.txt", "TXT")</f>
        <v/>
      </c>
    </row>
    <row r="1733">
      <c r="A1733" s="1" t="n">
        <v>1731</v>
      </c>
      <c r="B1733" t="n">
        <v>2019</v>
      </c>
      <c r="C1733" s="2" t="n">
        <v>43494.81545953704</v>
      </c>
      <c r="D1733" t="inlineStr">
        <is>
          <t>G1</t>
        </is>
      </c>
      <c r="E1733" t="inlineStr">
        <is>
          <t>HAITIANOS</t>
        </is>
      </c>
      <c r="F1733" t="inlineStr">
        <is>
          <t>DISTRITO FEDERAL</t>
        </is>
      </c>
      <c r="G1733" t="inlineStr">
        <is>
          <t>G1 DF</t>
        </is>
      </c>
      <c r="H1733" t="inlineStr">
        <is>
          <t>HAITIANO QUE ATUAVA COMO PASTOR É PRESO POR ESTUPRAR MENINO DE 13 ANOS NO DF</t>
        </is>
      </c>
      <c r="I1733" t="inlineStr">
        <is>
          <t>SEGUNDO POLÍCIA CIVIL, COM A DESCULPA DE ENSINAR INGLÊS, HOMEM ABUSAVA DO ADOLESCENTE. CRIME FOI EM 2012, MAS FAMÍLIA SOUBE SÓ EM 2017.</t>
        </is>
      </c>
      <c r="J1733">
        <f>HYPERLINK("https://g1.globo.com/df/distrito-federal/noticia/2019/01/29/haitiano-que-atuava-como-pastor-e-preso-por-estuprar-jovem-no-df.ghtml", "URL")</f>
        <v/>
      </c>
      <c r="K1733">
        <f>HYPERLINK("https://raw.githubusercontent.com/marcosmapl/dataset_imigrantes/main/noticias_filtered/g1/haitianos/2019/00_jan/html/g1_0410e1d2-22f8-11ed-b24f-6dbe51e79fca_2112.html", "HTML")</f>
        <v/>
      </c>
      <c r="L1733">
        <f>HYPERLINK("https://raw.githubusercontent.com/marcosmapl/dataset_imigrantes/main/noticias_filtered/g1/haitianos/2019/00_jan/txt/g1_0410e1d2-22f8-11ed-b24f-6dbe51e79fca_2112.txt", "TXT")</f>
        <v/>
      </c>
    </row>
    <row r="1734">
      <c r="A1734" s="1" t="n">
        <v>1732</v>
      </c>
      <c r="B1734" t="n">
        <v>2019</v>
      </c>
      <c r="C1734" s="2" t="n">
        <v>43494.80553833333</v>
      </c>
      <c r="D1734" t="inlineStr">
        <is>
          <t>G1</t>
        </is>
      </c>
      <c r="E1734" t="inlineStr">
        <is>
          <t>HAITIANOS</t>
        </is>
      </c>
      <c r="F1734" t="inlineStr">
        <is>
          <t>AMAZONAS</t>
        </is>
      </c>
      <c r="G1734" t="inlineStr">
        <is>
          <t>G1 AM</t>
        </is>
      </c>
      <c r="H1734" t="inlineStr">
        <is>
          <t>HAITIANO É MORTO APÓS ESFAQUEAR POLICIAL QUE PEDIU PARA REVISTÁ-LO, EM MANAUS</t>
        </is>
      </c>
      <c r="I1734" t="inlineStr">
        <is>
          <t>COLEGA DE PM FERIDO ATIROU CONTRA HAITIANO NA TARDE DESTA TERÇA-FEIRA (29).</t>
        </is>
      </c>
      <c r="J1734">
        <f>HYPERLINK("https://g1.globo.com/am/amazonas/noticia/2019/01/29/haitiano-e-morto-apos-esfaquear-policial-que-pediu-para-revista-lo-em-manaus.ghtml", "URL")</f>
        <v/>
      </c>
      <c r="K1734">
        <f>HYPERLINK("https://raw.githubusercontent.com/marcosmapl/dataset_imigrantes/main/noticias_filtered/g1/haitianos/2019/00_jan/html/g1_dac11f84-22ae-11ed-b24f-6dbe51e79fca_1628.html", "HTML")</f>
        <v/>
      </c>
      <c r="L1734">
        <f>HYPERLINK("https://raw.githubusercontent.com/marcosmapl/dataset_imigrantes/main/noticias_filtered/g1/haitianos/2019/00_jan/txt/g1_dac11f84-22ae-11ed-b24f-6dbe51e79fca_1628.txt", "TXT")</f>
        <v/>
      </c>
    </row>
    <row r="1735">
      <c r="A1735" s="1" t="n">
        <v>1733</v>
      </c>
      <c r="B1735" t="n">
        <v>2019</v>
      </c>
      <c r="C1735" s="2" t="n">
        <v>43494.67777777778</v>
      </c>
      <c r="D1735" t="inlineStr">
        <is>
          <t>A CRITICA</t>
        </is>
      </c>
      <c r="E1735" t="inlineStr">
        <is>
          <t>HAITIANOS</t>
        </is>
      </c>
      <c r="F1735" t="inlineStr">
        <is>
          <t>MANAUS</t>
        </is>
      </c>
      <c r="G1735" t="inlineStr">
        <is>
          <t>OSWALDO NETO</t>
        </is>
      </c>
      <c r="H1735" t="inlineStr">
        <is>
          <t>APÓS BRIGA, VENDEDOR DE DINDIN ATACA POLICIAL COM FACA E É MORTO A TIROS</t>
        </is>
      </c>
      <c r="I1735" t="inlineStr">
        <is>
          <t>TUMULTO QUE ACABOU EM MORTE OCORREU NA AVENIDA DJALMA BATISTA, NO INÍCIO DA TARDE DESTA TERÇA-FEIRA. POLICIAL FICOU FERIDO NAS MÃOS E NO ROSTO E FOI LEVADO AO HOSPITAL 28 DE AGOSTO</t>
        </is>
      </c>
      <c r="J1735">
        <f>HYPERLINK("https://www.acritica.com/manaus/apos-briga-vendedor-de-dindin-ataca-policial-com-faca-e-e-morto-a-tiros-1.76799", "URL")</f>
        <v/>
      </c>
      <c r="K1735">
        <f>HYPERLINK("https://raw.githubusercontent.com/marcosmapl/dataset_imigrantes/main/noticias_filtered/a_critica/haitianos/2019/00_jan/html/1.76799_227.html", "HTML")</f>
        <v/>
      </c>
      <c r="L1735">
        <f>HYPERLINK("https://raw.githubusercontent.com/marcosmapl/dataset_imigrantes/main/noticias_filtered/a_critica/haitianos/2019/00_jan/txt/1.76799_227.txt", "TXT")</f>
        <v/>
      </c>
    </row>
    <row r="1736">
      <c r="A1736" s="1" t="n">
        <v>1734</v>
      </c>
      <c r="B1736" t="n">
        <v>2019</v>
      </c>
      <c r="C1736" s="2" t="n">
        <v>43493.46348379629</v>
      </c>
      <c r="D1736" t="inlineStr">
        <is>
          <t>A CRITICA</t>
        </is>
      </c>
      <c r="E1736" t="inlineStr">
        <is>
          <t>VENEZUELANOS</t>
        </is>
      </c>
      <c r="F1736" t="inlineStr"/>
      <c r="G1736" t="inlineStr">
        <is>
          <t>AGÊNCIA BRASIL</t>
        </is>
      </c>
      <c r="H1736" t="inlineStr">
        <is>
          <t>GUAIDÓ FALA À NAÇÃO E CONCLAMA PARA MANIFESTAÇÕES AO LONGO DA SEMANA</t>
        </is>
      </c>
      <c r="I1736" t="inlineStr">
        <is>
          <t>O PRESIDENTE INTERINO DA VENEZUELA AGRADECEU O APOIO INTERNACIONAL E A AJUDA HUMANITÁRIA PROMETIDOS AO POVO VENEZUELANO</t>
        </is>
      </c>
      <c r="J1736">
        <f>HYPERLINK("https://www.acritica.com/guaido-fala-a-nac-o-e-conclama-para-manifestac-es-ao-longo-da-semana-1.76812", "URL")</f>
        <v/>
      </c>
      <c r="K1736">
        <f>HYPERLINK("https://raw.githubusercontent.com/marcosmapl/dataset_imigrantes/main/noticias_filtered/a_critica/venezuelanos/2019/00_jan/html/1.76812_1023.html", "HTML")</f>
        <v/>
      </c>
      <c r="L1736">
        <f>HYPERLINK("https://raw.githubusercontent.com/marcosmapl/dataset_imigrantes/main/noticias_filtered/a_critica/venezuelanos/2019/00_jan/txt/1.76812_1023.txt", "TXT")</f>
        <v/>
      </c>
    </row>
    <row r="1737">
      <c r="A1737" s="1" t="n">
        <v>1735</v>
      </c>
      <c r="B1737" t="n">
        <v>2019</v>
      </c>
      <c r="C1737" s="2" t="n">
        <v>43492.82754582176</v>
      </c>
      <c r="D1737" t="inlineStr">
        <is>
          <t>G1</t>
        </is>
      </c>
      <c r="E1737" t="inlineStr">
        <is>
          <t>VENEZUELANOS</t>
        </is>
      </c>
      <c r="F1737" t="inlineStr">
        <is>
          <t>RORAIMA</t>
        </is>
      </c>
      <c r="G1737" t="inlineStr">
        <is>
          <t>G1 RR — BOA VISTA</t>
        </is>
      </c>
      <c r="H1737" t="inlineStr">
        <is>
          <t>VOCÊ VIU? PRESO OSTENTA ARMA NA WEB, VENEZUELANO AGREDIDO NA RUA, 'LUA DE SANGUE' EM RORAIMA E MAIS</t>
        </is>
      </c>
      <c r="I1737" t="inlineStr">
        <is>
          <t>CONFIRA A SELEÇÃO DE NOTÍCIAS MAIS ACESSADAS NO G1 RORAIMA ENTRE 20 E 26 DE JANEIRO.</t>
        </is>
      </c>
      <c r="J1737">
        <f>HYPERLINK("https://g1.globo.com/rr/roraima/noticia/2019/01/27/voce-viu-preso-ostenta-arma-na-web-venezuelano-agredido-na-rua-lua-de-sangue-em-roraima-e-mais.ghtml", "URL")</f>
        <v/>
      </c>
      <c r="K1737">
        <f>HYPERLINK("https://raw.githubusercontent.com/marcosmapl/dataset_imigrantes/main/noticias_filtered/g1/venezuelanos/2019/00_jan/html/g1_e7e434ac-2318-11ed-b24f-6dbe51e79fca_3287.html", "HTML")</f>
        <v/>
      </c>
      <c r="L1737">
        <f>HYPERLINK("https://raw.githubusercontent.com/marcosmapl/dataset_imigrantes/main/noticias_filtered/g1/venezuelanos/2019/00_jan/txt/g1_e7e434ac-2318-11ed-b24f-6dbe51e79fca_3287.txt", "TXT")</f>
        <v/>
      </c>
    </row>
    <row r="1738">
      <c r="A1738" s="1" t="n">
        <v>1736</v>
      </c>
      <c r="B1738" t="n">
        <v>2019</v>
      </c>
      <c r="C1738" s="2" t="n">
        <v>43492.74716435185</v>
      </c>
      <c r="D1738" t="inlineStr">
        <is>
          <t>A CRITICA</t>
        </is>
      </c>
      <c r="E1738" t="inlineStr">
        <is>
          <t>VENEZUELANOS</t>
        </is>
      </c>
      <c r="F1738" t="inlineStr"/>
      <c r="G1738" t="inlineStr">
        <is>
          <t>POR ALI KUCUKGOCMEN</t>
        </is>
      </c>
      <c r="H1738" t="inlineStr">
        <is>
          <t>MADURO REJEITA NOVAS ELEIÇÕES, MAS DIZ QUE ESTÁ PRONTO PARA O DIÁLOGO</t>
        </is>
      </c>
      <c r="I1738" t="inlineStr">
        <is>
          <t>EM ENTREVISTA À CNN DA TURQUIA NESTE DOMINGO, MADURO DISSE ESTAR ABERTO AO DIÁLOGO E QUE UM ENCONTRO COM O PRESIDENTE DOS EUA, DONALD TRUMP, É IMPROVÁVEL, MAS NÃO IMPOSSÍVEL</t>
        </is>
      </c>
      <c r="J1738">
        <f>HYPERLINK("https://www.acritica.com/maduro-rejeita-novas-eleic-es-mas-diz-que-esta-pronto-para-o-dialogo-1.76857", "URL")</f>
        <v/>
      </c>
      <c r="K1738">
        <f>HYPERLINK("https://raw.githubusercontent.com/marcosmapl/dataset_imigrantes/main/noticias_filtered/a_critica/venezuelanos/2019/00_jan/html/1.76857_622.html", "HTML")</f>
        <v/>
      </c>
      <c r="L1738">
        <f>HYPERLINK("https://raw.githubusercontent.com/marcosmapl/dataset_imigrantes/main/noticias_filtered/a_critica/venezuelanos/2019/00_jan/txt/1.76857_622.txt", "TXT")</f>
        <v/>
      </c>
    </row>
    <row r="1739">
      <c r="A1739" s="1" t="n">
        <v>1737</v>
      </c>
      <c r="B1739" t="n">
        <v>2019</v>
      </c>
      <c r="C1739" s="2" t="n">
        <v>43491.90366751157</v>
      </c>
      <c r="D1739" t="inlineStr">
        <is>
          <t>G1</t>
        </is>
      </c>
      <c r="E1739" t="inlineStr">
        <is>
          <t>VENEZUELANOS</t>
        </is>
      </c>
      <c r="F1739" t="inlineStr">
        <is>
          <t>MUNDO</t>
        </is>
      </c>
      <c r="G1739" t="inlineStr">
        <is>
          <t>G1</t>
        </is>
      </c>
      <c r="H1739" t="inlineStr">
        <is>
          <t>REPRESENTANTE MILITAR DA VENEZUELA NOS EUA ROMPE COM NICOLÁS MADURO</t>
        </is>
      </c>
      <c r="I1739" t="inlineStr">
        <is>
          <t>ADIDO MILITAR DO GOVERNO VENEZUELANO NOS EUA DIZ, DE DENTRO DA EMBAIXADA, QUE APOIA JUAN GUAIDÓ COMO CHEFE DE GOVERNO INTERINO.</t>
        </is>
      </c>
      <c r="J1739">
        <f>HYPERLINK("https://g1.globo.com/mundo/noticia/2019/01/26/representante-militar-da-venezuela-nos-eua-rompe-com-nicolas-maduro.ghtml", "URL")</f>
        <v/>
      </c>
      <c r="K1739">
        <f>HYPERLINK("https://raw.githubusercontent.com/marcosmapl/dataset_imigrantes/main/noticias_filtered/g1/venezuelanos/2019/00_jan/html/g1_fd00e010-2322-11ed-b24f-6dbe51e79fca_3782.html", "HTML")</f>
        <v/>
      </c>
      <c r="L1739">
        <f>HYPERLINK("https://raw.githubusercontent.com/marcosmapl/dataset_imigrantes/main/noticias_filtered/g1/venezuelanos/2019/00_jan/txt/g1_fd00e010-2322-11ed-b24f-6dbe51e79fca_3782.txt", "TXT")</f>
        <v/>
      </c>
    </row>
    <row r="1740">
      <c r="A1740" s="1" t="n">
        <v>1738</v>
      </c>
      <c r="B1740" t="n">
        <v>2019</v>
      </c>
      <c r="C1740" s="2" t="n">
        <v>43491.67696759259</v>
      </c>
      <c r="D1740" t="inlineStr">
        <is>
          <t>A CRITICA</t>
        </is>
      </c>
      <c r="E1740" t="inlineStr">
        <is>
          <t>VENEZUELANOS</t>
        </is>
      </c>
      <c r="F1740" t="inlineStr"/>
      <c r="G1740" t="inlineStr">
        <is>
          <t>AFP</t>
        </is>
      </c>
      <c r="H1740" t="inlineStr">
        <is>
          <t>VENEZUELA RECHAÇA ULTIMATO DE ELEIÇÕES DADO PELA EUROPA NA ONU</t>
        </is>
      </c>
      <c r="I1740" t="inlineStr">
        <is>
          <t>'DE ONDE VOCÊS TIRAM QUE TÊM ALGUM PODER PARA DAR PRAZOS OU ULTIMATOS A UM POVO SOBERANO?', AFIRMOU O CHANCELER   JORGE ARREAZA</t>
        </is>
      </c>
      <c r="J1740">
        <f>HYPERLINK("https://www.acritica.com/venezuela-rechaca-ultimato-de-eleic-es-dado-pela-europa-na-onu-1.76818", "URL")</f>
        <v/>
      </c>
      <c r="K1740">
        <f>HYPERLINK("https://raw.githubusercontent.com/marcosmapl/dataset_imigrantes/main/noticias_filtered/a_critica/venezuelanos/2019/00_jan/html/1.76818_841.html", "HTML")</f>
        <v/>
      </c>
      <c r="L1740">
        <f>HYPERLINK("https://raw.githubusercontent.com/marcosmapl/dataset_imigrantes/main/noticias_filtered/a_critica/venezuelanos/2019/00_jan/txt/1.76818_841.txt", "TXT")</f>
        <v/>
      </c>
    </row>
    <row r="1741">
      <c r="A1741" s="1" t="n">
        <v>1739</v>
      </c>
      <c r="B1741" t="n">
        <v>2019</v>
      </c>
      <c r="C1741" s="2" t="n">
        <v>43491.58246527778</v>
      </c>
      <c r="D1741" t="inlineStr">
        <is>
          <t>A CRITICA</t>
        </is>
      </c>
      <c r="E1741" t="inlineStr">
        <is>
          <t>VENEZUELANOS</t>
        </is>
      </c>
      <c r="F1741" t="inlineStr"/>
      <c r="G1741" t="inlineStr">
        <is>
          <t>AFP</t>
        </is>
      </c>
      <c r="H1741" t="inlineStr">
        <is>
          <t>POTÊNCIAS EUROPEIAS EXIGEM QUE MADURO CONVOQUE ELEIÇÕES EM OITO DIAS</t>
        </is>
      </c>
      <c r="I1741" t="inlineStr">
        <is>
          <t>ESPANHA, FRANÇA, ALEMANHA E REINO UNIDO DIVULGARAM UMA ADVERTÊNCIA PRATICAMENTE IDÊNTICA. CASO MADURO NÃO 'OBEDEÇA', PAÍSES RECONHECERÃO OPOSITOR COMO PRESIDENTE</t>
        </is>
      </c>
      <c r="J1741">
        <f>HYPERLINK("https://www.acritica.com/potencias-europeias-exigem-que-maduro-convoque-eleic-es-em-oito-dias-1.76874", "URL")</f>
        <v/>
      </c>
      <c r="K1741">
        <f>HYPERLINK("https://raw.githubusercontent.com/marcosmapl/dataset_imigrantes/main/noticias_filtered/a_critica/venezuelanos/2019/00_jan/html/1.76874_897.html", "HTML")</f>
        <v/>
      </c>
      <c r="L1741">
        <f>HYPERLINK("https://raw.githubusercontent.com/marcosmapl/dataset_imigrantes/main/noticias_filtered/a_critica/venezuelanos/2019/00_jan/txt/1.76874_897.txt", "TXT")</f>
        <v/>
      </c>
    </row>
    <row r="1742">
      <c r="A1742" s="1" t="n">
        <v>1740</v>
      </c>
      <c r="B1742" t="n">
        <v>2019</v>
      </c>
      <c r="C1742" s="2" t="n">
        <v>43491.57422453703</v>
      </c>
      <c r="D1742" t="inlineStr">
        <is>
          <t>A CRITICA</t>
        </is>
      </c>
      <c r="E1742" t="inlineStr">
        <is>
          <t>VENEZUELANOS</t>
        </is>
      </c>
      <c r="F1742" t="inlineStr"/>
      <c r="G1742" t="inlineStr">
        <is>
          <t>AFP</t>
        </is>
      </c>
      <c r="H1742" t="inlineStr">
        <is>
          <t>RÚSSIA E ESTADOS UNIDOS TROCAM FARPAS SOBRE A VENEZUELA NA ONU</t>
        </is>
      </c>
      <c r="I1742" t="inlineStr">
        <is>
          <t>DE UM LADO, O PAÍS EUROPEU ACUSA OS EUA DE 'ORQUESTRAR GOLPE DE ESTADO' NA VENEZUELA, ENQUANTO SECRETÁRIO DE TRUMP SUSTENTA QUE MADURO LIDERA 'ESTADO MAFIOSO E ILEGÍTIMO'</t>
        </is>
      </c>
      <c r="J1742">
        <f>HYPERLINK("https://www.acritica.com/russia-e-estados-unidos-trocam-farpas-sobre-a-venezuela-na-onu-1.76880", "URL")</f>
        <v/>
      </c>
      <c r="K1742">
        <f>HYPERLINK("https://raw.githubusercontent.com/marcosmapl/dataset_imigrantes/main/noticias_filtered/a_critica/venezuelanos/2019/00_jan/html/1.76880_193.html", "HTML")</f>
        <v/>
      </c>
      <c r="L1742">
        <f>HYPERLINK("https://raw.githubusercontent.com/marcosmapl/dataset_imigrantes/main/noticias_filtered/a_critica/venezuelanos/2019/00_jan/txt/1.76880_193.txt", "TXT")</f>
        <v/>
      </c>
    </row>
    <row r="1743">
      <c r="A1743" s="1" t="n">
        <v>1741</v>
      </c>
      <c r="B1743" t="n">
        <v>2019</v>
      </c>
      <c r="C1743" s="2" t="n">
        <v>43490.55390046296</v>
      </c>
      <c r="D1743" t="inlineStr">
        <is>
          <t>A CRITICA</t>
        </is>
      </c>
      <c r="E1743" t="inlineStr">
        <is>
          <t>VENEZUELANOS</t>
        </is>
      </c>
      <c r="F1743" t="inlineStr"/>
      <c r="G1743" t="inlineStr">
        <is>
          <t>AGÊNCIA BRASIL*</t>
        </is>
      </c>
      <c r="H1743" t="inlineStr">
        <is>
          <t>JUAN GUAIDÓ SUGERE ANISTIA A MADURO PARA RESTAURAR ‘ORDEM DEMOCRÁTICA’ NA VENEZUELA</t>
        </is>
      </c>
      <c r="I1743" t="inlineStr">
        <is>
          <t>NA PRIMEIRA ENTREVISTA APÓS SE DECLARAR PRESIDENTE INTERINO, GUAIDÓ APONTOU PARA A POSSIBILIDADE DE PERDÃO A MADURO CASO ELE ACEITE ABRIR MÃO DO PODER NO PAÍS</t>
        </is>
      </c>
      <c r="J1743">
        <f>HYPERLINK("https://www.acritica.com/juan-guaido-sugere-anistia-a-maduro-para-restaurar-ordem-democratica-na-venezuela-1.76466", "URL")</f>
        <v/>
      </c>
      <c r="K1743">
        <f>HYPERLINK("https://raw.githubusercontent.com/marcosmapl/dataset_imigrantes/main/noticias_filtered/a_critica/venezuelanos/2019/00_jan/html/1.76466_692.html", "HTML")</f>
        <v/>
      </c>
      <c r="L1743">
        <f>HYPERLINK("https://raw.githubusercontent.com/marcosmapl/dataset_imigrantes/main/noticias_filtered/a_critica/venezuelanos/2019/00_jan/txt/1.76466_692.txt", "TXT")</f>
        <v/>
      </c>
    </row>
    <row r="1744">
      <c r="A1744" s="1" t="n">
        <v>1742</v>
      </c>
      <c r="B1744" t="n">
        <v>2019</v>
      </c>
      <c r="C1744" s="2" t="n">
        <v>43490.45532407407</v>
      </c>
      <c r="D1744" t="inlineStr">
        <is>
          <t>A CRITICA</t>
        </is>
      </c>
      <c r="E1744" t="inlineStr">
        <is>
          <t>VENEZUELANOS</t>
        </is>
      </c>
      <c r="F1744" t="inlineStr"/>
      <c r="G1744" t="inlineStr">
        <is>
          <t>PAULA LABOISSIÈRE (AGÊNCIA BRASIL)</t>
        </is>
      </c>
      <c r="H1744" t="inlineStr">
        <is>
          <t>ESTADOS UNIDOS PEDEM REUNIÃO DO CONSELHO DE SEGURANÇA DA ONU SOBRE VENEZUELA</t>
        </is>
      </c>
      <c r="I1744" t="inlineStr">
        <is>
          <t>O PEDIDO É PARA QUE O ENCONTRO OCORRA AMANHÃ (26). O SECRETÁRIO DE ESTADO NORTE-AMERICANO DISSE QUE O PAÍS É “AMIGO” DO POVO VENEZUELANO</t>
        </is>
      </c>
      <c r="J1744">
        <f>HYPERLINK("https://www.acritica.com/estados-unidos-pedem-reuni-o-do-conselho-de-seguranca-da-onu-sobre-venezuela-1.76938", "URL")</f>
        <v/>
      </c>
      <c r="K1744">
        <f>HYPERLINK("https://raw.githubusercontent.com/marcosmapl/dataset_imigrantes/main/noticias_filtered/a_critica/venezuelanos/2019/00_jan/html/1.76938_1340.html", "HTML")</f>
        <v/>
      </c>
      <c r="L1744">
        <f>HYPERLINK("https://raw.githubusercontent.com/marcosmapl/dataset_imigrantes/main/noticias_filtered/a_critica/venezuelanos/2019/00_jan/txt/1.76938_1340.txt", "TXT")</f>
        <v/>
      </c>
    </row>
    <row r="1745">
      <c r="A1745" s="1" t="n">
        <v>1743</v>
      </c>
      <c r="B1745" t="n">
        <v>2019</v>
      </c>
      <c r="C1745" s="2" t="n">
        <v>43490.3956712963</v>
      </c>
      <c r="D1745" t="inlineStr">
        <is>
          <t>A CRITICA</t>
        </is>
      </c>
      <c r="E1745" t="inlineStr">
        <is>
          <t>VENEZUELANOS</t>
        </is>
      </c>
      <c r="F1745" t="inlineStr"/>
      <c r="G1745" t="inlineStr"/>
      <c r="H1745" t="inlineStr">
        <is>
          <t>AMAZONAS VAI PEITAR GESTÃO PAULO GUEDES</t>
        </is>
      </c>
      <c r="I1745" t="inlineStr"/>
      <c r="J1745">
        <f>HYPERLINK("https://www.acritica.com/amazonas-vai-peitar-gest-o-paulo-guedes-1.223989", "URL")</f>
        <v/>
      </c>
      <c r="K1745">
        <f>HYPERLINK("https://raw.githubusercontent.com/marcosmapl/dataset_imigrantes/main/noticias_filtered/a_critica/venezuelanos/2019/00_jan/html/1.223989_1349.html", "HTML")</f>
        <v/>
      </c>
      <c r="L1745">
        <f>HYPERLINK("https://raw.githubusercontent.com/marcosmapl/dataset_imigrantes/main/noticias_filtered/a_critica/venezuelanos/2019/00_jan/txt/1.223989_1349.txt", "TXT")</f>
        <v/>
      </c>
    </row>
    <row r="1746">
      <c r="A1746" s="1" t="n">
        <v>1744</v>
      </c>
      <c r="B1746" t="n">
        <v>2019</v>
      </c>
      <c r="C1746" s="2" t="n">
        <v>43489.95626157407</v>
      </c>
      <c r="D1746" t="inlineStr">
        <is>
          <t>A CRITICA</t>
        </is>
      </c>
      <c r="E1746" t="inlineStr">
        <is>
          <t>VENEZUELANOS</t>
        </is>
      </c>
      <c r="F1746" t="inlineStr"/>
      <c r="G1746" t="inlineStr">
        <is>
          <t>AGÊNCIA BRASIL*</t>
        </is>
      </c>
      <c r="H1746" t="inlineStr">
        <is>
          <t>EM SESSÃO EXTRAORDINÁRIA, OEA DEFENDE ELEIÇÕES LIVRES NA VENEZUELA</t>
        </is>
      </c>
      <c r="I1746" t="inlineStr">
        <is>
          <t>POR SUGESTÃO DOS ESTADOS UNIDOS, FOI APROVADA UMA DECLARAÇÃO NA QUAL SÃO EXIGIDAS GARANTIAS DE SEGURANÇA PARA JUAN GUAIDÓ ASSUMIR INTERINAMENTE A PRESIDÊNCIA</t>
        </is>
      </c>
      <c r="J1746">
        <f>HYPERLINK("https://www.acritica.com/em-sess-o-extraordinaria-oea-defende-eleic-es-livres-na-venezuela-1.76944", "URL")</f>
        <v/>
      </c>
      <c r="K1746">
        <f>HYPERLINK("https://raw.githubusercontent.com/marcosmapl/dataset_imigrantes/main/noticias_filtered/a_critica/venezuelanos/2019/00_jan/html/1.76944_778.html", "HTML")</f>
        <v/>
      </c>
      <c r="L1746">
        <f>HYPERLINK("https://raw.githubusercontent.com/marcosmapl/dataset_imigrantes/main/noticias_filtered/a_critica/venezuelanos/2019/00_jan/txt/1.76944_778.txt", "TXT")</f>
        <v/>
      </c>
    </row>
    <row r="1747">
      <c r="A1747" s="1" t="n">
        <v>1745</v>
      </c>
      <c r="B1747" t="n">
        <v>2019</v>
      </c>
      <c r="C1747" s="2" t="n">
        <v>43489.94513888889</v>
      </c>
      <c r="D1747" t="inlineStr">
        <is>
          <t>A CRITICA</t>
        </is>
      </c>
      <c r="E1747" t="inlineStr">
        <is>
          <t>VENEZUELANOS</t>
        </is>
      </c>
      <c r="F1747" t="inlineStr">
        <is>
          <t>ESPORTES</t>
        </is>
      </c>
      <c r="G1747" t="inlineStr">
        <is>
          <t>LÉO RODRIGUES (AGÊNCIA BRASIL)</t>
        </is>
      </c>
      <c r="H1747" t="inlineStr">
        <is>
          <t>COPA AMÉRICA 2019: SELEÇÃO BRASILEIRA CONHECE ADVERSÁRIOS DA 1ª FASE</t>
        </is>
      </c>
      <c r="I1747" t="inlineStr">
        <is>
          <t>CABEÇA DE CHAVE DO GRUPO A, BRASIL ESTREIA NA COMPETIÇÃO NO DIA 14 DE JUNHO CONTRA A BOLÍVIA, EM SÃO PAULO</t>
        </is>
      </c>
      <c r="J1747">
        <f>HYPERLINK("https://www.acritica.com/esportes/copa-america-2019-selec-o-brasileira-conhece-adversarios-da-1-fase-1.76947", "URL")</f>
        <v/>
      </c>
      <c r="K1747">
        <f>HYPERLINK("https://raw.githubusercontent.com/marcosmapl/dataset_imigrantes/main/noticias_filtered/a_critica/venezuelanos/2019/00_jan/html/1.76947_433.html", "HTML")</f>
        <v/>
      </c>
      <c r="L1747">
        <f>HYPERLINK("https://raw.githubusercontent.com/marcosmapl/dataset_imigrantes/main/noticias_filtered/a_critica/venezuelanos/2019/00_jan/txt/1.76947_433.txt", "TXT")</f>
        <v/>
      </c>
    </row>
    <row r="1748">
      <c r="A1748" s="1" t="n">
        <v>1746</v>
      </c>
      <c r="B1748" t="n">
        <v>2019</v>
      </c>
      <c r="C1748" s="2" t="n">
        <v>43489.89791666667</v>
      </c>
      <c r="D1748" t="inlineStr">
        <is>
          <t>A CRITICA</t>
        </is>
      </c>
      <c r="E1748" t="inlineStr">
        <is>
          <t>VENEZUELANOS</t>
        </is>
      </c>
      <c r="F1748" t="inlineStr">
        <is>
          <t>ESPORTES</t>
        </is>
      </c>
      <c r="G1748" t="inlineStr">
        <is>
          <t>GABRIEL FERREIRA</t>
        </is>
      </c>
      <c r="H1748" t="inlineStr">
        <is>
          <t>ROLO COMPRESSOR EMPATA EM JOGO SEM GOLS NO TERCEIRO AMISTOSO NA VENEZUELA</t>
        </is>
      </c>
      <c r="I1748" t="inlineStr">
        <is>
          <t>NA FASE DE PRÉ-TEMPORADA O TIME AMAZONENSE DISPUTOU ATÉ O MOMENTO TRÊS PARTIDAS, COM UMA VITÓRIA, UMA DERROTA E UM EMPATE</t>
        </is>
      </c>
      <c r="J1748">
        <f>HYPERLINK("https://www.acritica.com/esportes/rolo-compressor-empata-em-jogo-sem-gols-no-terceiro-amistoso-na-venezuela-1.76981", "URL")</f>
        <v/>
      </c>
      <c r="K1748">
        <f>HYPERLINK("https://raw.githubusercontent.com/marcosmapl/dataset_imigrantes/main/noticias_filtered/a_critica/venezuelanos/2019/00_jan/html/1.76981_915.html", "HTML")</f>
        <v/>
      </c>
      <c r="L1748">
        <f>HYPERLINK("https://raw.githubusercontent.com/marcosmapl/dataset_imigrantes/main/noticias_filtered/a_critica/venezuelanos/2019/00_jan/txt/1.76981_915.txt", "TXT")</f>
        <v/>
      </c>
    </row>
    <row r="1749">
      <c r="A1749" s="1" t="n">
        <v>1747</v>
      </c>
      <c r="B1749" t="n">
        <v>2019</v>
      </c>
      <c r="C1749" s="2" t="n">
        <v>43489.60763888889</v>
      </c>
      <c r="D1749" t="inlineStr">
        <is>
          <t>A CRITICA</t>
        </is>
      </c>
      <c r="E1749" t="inlineStr">
        <is>
          <t>VENEZUELANOS</t>
        </is>
      </c>
      <c r="F1749" t="inlineStr"/>
      <c r="G1749" t="inlineStr">
        <is>
          <t>AFP</t>
        </is>
      </c>
      <c r="H1749" t="inlineStr">
        <is>
          <t>MILITARES VENEZUELANOS CHAMAM AUTOPROCLAMAÇÃO DE GUAIDÓ DE 'GOLPE'</t>
        </is>
      </c>
      <c r="I1749" t="inlineStr">
        <is>
          <t>PRESIDENTE DO PARLAMENTO VENEZUELANO, JUAN GUAIDÓ, SE AUTOPROCLAMOU PRESIDENTE E JÁ FOI RECONHECIDO POR DIVERSOS PAÍSES, ENTRE ELES ESTADOS UNIDOS E BRASIL</t>
        </is>
      </c>
      <c r="J1749">
        <f>HYPERLINK("https://www.acritica.com/militares-venezuelanos-chamam-autoproclamac-o-de-guaido-de-golpe-1.77022", "URL")</f>
        <v/>
      </c>
      <c r="K1749">
        <f>HYPERLINK("https://raw.githubusercontent.com/marcosmapl/dataset_imigrantes/main/noticias_filtered/a_critica/venezuelanos/2019/00_jan/html/1.77022_182.html", "HTML")</f>
        <v/>
      </c>
      <c r="L1749">
        <f>HYPERLINK("https://raw.githubusercontent.com/marcosmapl/dataset_imigrantes/main/noticias_filtered/a_critica/venezuelanos/2019/00_jan/txt/1.77022_182.txt", "TXT")</f>
        <v/>
      </c>
    </row>
    <row r="1750">
      <c r="A1750" s="1" t="n">
        <v>1748</v>
      </c>
      <c r="B1750" t="n">
        <v>2019</v>
      </c>
      <c r="C1750" s="2" t="n">
        <v>43489.56824074074</v>
      </c>
      <c r="D1750" t="inlineStr">
        <is>
          <t>A CRITICA</t>
        </is>
      </c>
      <c r="E1750" t="inlineStr">
        <is>
          <t>VENEZUELANOS</t>
        </is>
      </c>
      <c r="F1750" t="inlineStr"/>
      <c r="G1750" t="inlineStr">
        <is>
          <t>AFP</t>
        </is>
      </c>
      <c r="H1750" t="inlineStr">
        <is>
          <t>AUMENTA PARA 16 O NÚMERO DE MORTOS NOS DISTÚRBIOS NA VENEZUELA</t>
        </is>
      </c>
      <c r="I1750" t="inlineStr">
        <is>
          <t>AS MORTES, PRINCIPALMENTE POR ARMAS DE FOGO, OCORRERAM EM CARACAS E NOS ESTADOS DE TÁCHIRA, BARINAS, AMAZONAS, BOLÍVAR E PORTUGUESA</t>
        </is>
      </c>
      <c r="J1750">
        <f>HYPERLINK("https://www.acritica.com/aumenta-para-16-o-numero-de-mortos-nos-disturbios-na-venezuela-1.77031", "URL")</f>
        <v/>
      </c>
      <c r="K1750">
        <f>HYPERLINK("https://raw.githubusercontent.com/marcosmapl/dataset_imigrantes/main/noticias_filtered/a_critica/venezuelanos/2019/00_jan/html/1.77031_736.html", "HTML")</f>
        <v/>
      </c>
      <c r="L1750">
        <f>HYPERLINK("https://raw.githubusercontent.com/marcosmapl/dataset_imigrantes/main/noticias_filtered/a_critica/venezuelanos/2019/00_jan/txt/1.77031_736.txt", "TXT")</f>
        <v/>
      </c>
    </row>
    <row r="1751">
      <c r="A1751" s="1" t="n">
        <v>1749</v>
      </c>
      <c r="B1751" t="n">
        <v>2019</v>
      </c>
      <c r="C1751" s="2" t="n">
        <v>43489.46891203704</v>
      </c>
      <c r="D1751" t="inlineStr">
        <is>
          <t>A CRITICA</t>
        </is>
      </c>
      <c r="E1751" t="inlineStr">
        <is>
          <t>VENEZUELANOS</t>
        </is>
      </c>
      <c r="F1751" t="inlineStr"/>
      <c r="G1751" t="inlineStr">
        <is>
          <t>REUTERS</t>
        </is>
      </c>
      <c r="H1751" t="inlineStr">
        <is>
          <t>SECRETÁRIO-GERAL DA ONU PEDE DIÁLOGO E INVESTIGAÇÃO DE MORTES NA VENEZUELA</t>
        </is>
      </c>
      <c r="I1751" t="inlineStr">
        <is>
          <t>DE ACORDO COM AUTORIDADES VENEZUELANAS, OITO PESSOAS MORRERAM EM CONFRONTOS COM A POLÍCIA NESTA SEMANA NO PAÍS DEPOIS DO LÍDER JUAN GUAIDÓ SE DECLARAR PRESIDENTE</t>
        </is>
      </c>
      <c r="J1751">
        <f>HYPERLINK("https://www.acritica.com/secretario-geral-da-onu-pede-dialogo-e-investigac-o-de-mortes-na-venezuela-1.76956", "URL")</f>
        <v/>
      </c>
      <c r="K1751">
        <f>HYPERLINK("https://raw.githubusercontent.com/marcosmapl/dataset_imigrantes/main/noticias_filtered/a_critica/venezuelanos/2019/00_jan/html/1.76956_1345.html", "HTML")</f>
        <v/>
      </c>
      <c r="L1751">
        <f>HYPERLINK("https://raw.githubusercontent.com/marcosmapl/dataset_imigrantes/main/noticias_filtered/a_critica/venezuelanos/2019/00_jan/txt/1.76956_1345.txt", "TXT")</f>
        <v/>
      </c>
    </row>
    <row r="1752">
      <c r="A1752" s="1" t="n">
        <v>1750</v>
      </c>
      <c r="B1752" t="n">
        <v>2019</v>
      </c>
      <c r="C1752" s="2" t="n">
        <v>43489.29000956019</v>
      </c>
      <c r="D1752" t="inlineStr">
        <is>
          <t>G1</t>
        </is>
      </c>
      <c r="E1752" t="inlineStr">
        <is>
          <t>VENEZUELANOS</t>
        </is>
      </c>
      <c r="F1752" t="inlineStr">
        <is>
          <t>MUNDO</t>
        </is>
      </c>
      <c r="G1752" t="inlineStr">
        <is>
          <t>G1</t>
        </is>
      </c>
      <c r="H1752" t="inlineStr">
        <is>
          <t>GOVERNO VENEZUELANO ENFRENTA PROTESTOS POPULARES PELO 3º DIA</t>
        </is>
      </c>
      <c r="I1752" t="inlineStr">
        <is>
          <t>SEGUNDO ONG, 13 PESSOAS MORRERAM DESDE O INÍCIO DAS MANIFESTAÇÕES. LÍDER DA OPOSIÇÃO, JUAN GUAIDÓ, SE DECLAROU 'PRESIDENTE INTERINO', E GOVERNO DE MADURO ESTÁ DIANTE DE IMPASSE.</t>
        </is>
      </c>
      <c r="J1752">
        <f>HYPERLINK("https://g1.globo.com/mundo/noticia/2019/01/24/governo-venezuelano-enfrenta-protestos-populares-pelo-3o-dia.ghtml", "URL")</f>
        <v/>
      </c>
      <c r="K1752">
        <f>HYPERLINK("https://raw.githubusercontent.com/marcosmapl/dataset_imigrantes/main/noticias_filtered/g1/venezuelanos/2019/00_jan/html/g1_fb3a68f4-2323-11ed-b24f-6dbe51e79fca_3840.html", "HTML")</f>
        <v/>
      </c>
      <c r="L1752">
        <f>HYPERLINK("https://raw.githubusercontent.com/marcosmapl/dataset_imigrantes/main/noticias_filtered/g1/venezuelanos/2019/00_jan/txt/g1_fb3a68f4-2323-11ed-b24f-6dbe51e79fca_3840.txt", "TXT")</f>
        <v/>
      </c>
    </row>
    <row r="1753">
      <c r="A1753" s="1" t="n">
        <v>1751</v>
      </c>
      <c r="B1753" t="n">
        <v>2019</v>
      </c>
      <c r="C1753" s="2" t="n">
        <v>43488.93819444445</v>
      </c>
      <c r="D1753" t="inlineStr">
        <is>
          <t>PORTAL AMAZONIA</t>
        </is>
      </c>
      <c r="E1753" t="inlineStr">
        <is>
          <t>VENEZUELANOS</t>
        </is>
      </c>
      <c r="F1753" t="inlineStr">
        <is>
          <t>CIDADES</t>
        </is>
      </c>
      <c r="G1753" t="inlineStr">
        <is>
          <t>REDAÇÃO</t>
        </is>
      </c>
      <c r="H1753" t="inlineStr">
        <is>
          <t>EM MANAUS, IMIGRANTES VENEZUELANOS APOIAM JUAN GUAIDÓ</t>
        </is>
      </c>
      <c r="I1753" t="inlineStr">
        <is>
          <t>NA TARDE DESTA QUARTA-FEIRA, (23), MANIFESTANTES VENEZUELANOS SE REUNIRAM NA PRAÇA DO CONGRESSO, EM MANAUS, EM FORMA DE APOIO AO PRESIDENTE DA ASSEMBLEIA NACIONAL DA VENEZUELA,  O PARLAMENTO DO PAÍS, O DEPUTADO JUAN GUAIDÓ. DURANTE UM DISCURSO,</t>
        </is>
      </c>
      <c r="J1753">
        <f>HYPERLINK("https://portalamazonia.com/noticias/cidades/em-manaus-imigrantes-venezuelanos-apoiam-juan-guaido", "URL")</f>
        <v/>
      </c>
      <c r="K1753">
        <f>HYPERLINK("https://raw.githubusercontent.com/marcosmapl/dataset_imigrantes/main/noticias_filtered/portal_amazonia/venezuelanos/2019/00_jan/html/16839.16839_1549.html", "HTML")</f>
        <v/>
      </c>
      <c r="L1753">
        <f>HYPERLINK("https://raw.githubusercontent.com/marcosmapl/dataset_imigrantes/main/noticias_filtered/portal_amazonia/venezuelanos/2019/00_jan/txt/16839.16839_1549.txt", "TXT")</f>
        <v/>
      </c>
    </row>
    <row r="1754">
      <c r="A1754" s="1" t="n">
        <v>1752</v>
      </c>
      <c r="B1754" t="n">
        <v>2019</v>
      </c>
      <c r="C1754" s="2" t="n">
        <v>43488.93772268519</v>
      </c>
      <c r="D1754" t="inlineStr">
        <is>
          <t>G1</t>
        </is>
      </c>
      <c r="E1754" t="inlineStr">
        <is>
          <t>VENEZUELANOS</t>
        </is>
      </c>
      <c r="F1754" t="inlineStr">
        <is>
          <t>RIO GRANDE DO SUL</t>
        </is>
      </c>
      <c r="G1754" t="inlineStr">
        <is>
          <t>G1 RS</t>
        </is>
      </c>
      <c r="H1754" t="inlineStr">
        <is>
          <t>VENEZUELANA QUE CAMINHOU DE CANOAS A PORTO ALEGRE POR EMPREGO É CONTRATADA: 'MUITO AGRADECIDA'</t>
        </is>
      </c>
      <c r="I1754" t="inlineStr">
        <is>
          <t>ELA CONCEDEU ENTREVISTA AO RBS NOTÍCIAS LAMENTANDO QUE NÃO TINHA TRABALHO E PEDINDO UMA OPORTUNIDADE. SENSIBILIZADO, EMPRESÁRIO A PROCUROU E OFERECEU VAGA.</t>
        </is>
      </c>
      <c r="J1754">
        <f>HYPERLINK("https://g1.globo.com/rs/rio-grande-do-sul/noticia/2019/01/23/venezuelana-que-caminhou-de-canoas-a-porto-alegre-por-emprego-e-contratada-muito-agradecida.ghtml", "URL")</f>
        <v/>
      </c>
      <c r="K1754">
        <f>HYPERLINK("https://raw.githubusercontent.com/marcosmapl/dataset_imigrantes/main/noticias_filtered/g1/venezuelanos/2019/00_jan/html/g1_daffa182-2308-11ed-b24f-6dbe51e79fca_2408.html", "HTML")</f>
        <v/>
      </c>
      <c r="L1754">
        <f>HYPERLINK("https://raw.githubusercontent.com/marcosmapl/dataset_imigrantes/main/noticias_filtered/g1/venezuelanos/2019/00_jan/txt/g1_daffa182-2308-11ed-b24f-6dbe51e79fca_2408.txt", "TXT")</f>
        <v/>
      </c>
    </row>
    <row r="1755">
      <c r="A1755" s="1" t="n">
        <v>1753</v>
      </c>
      <c r="B1755" t="n">
        <v>2019</v>
      </c>
      <c r="C1755" s="2" t="n">
        <v>43488.78284722222</v>
      </c>
      <c r="D1755" t="inlineStr">
        <is>
          <t>A CRITICA</t>
        </is>
      </c>
      <c r="E1755" t="inlineStr">
        <is>
          <t>VENEZUELANOS</t>
        </is>
      </c>
      <c r="F1755" t="inlineStr"/>
      <c r="G1755" t="inlineStr">
        <is>
          <t>AFP</t>
        </is>
      </c>
      <c r="H1755" t="inlineStr">
        <is>
          <t>COM PALAVRÕES, NICOLÁS MADURO ROMPE RELAÇÕES DIPLOMÁTICAS COM OS EUA</t>
        </is>
      </c>
      <c r="I1755" t="inlineStr">
        <is>
          <t>PRESIDENTE VENEZUELANO, QUE É ALVO DE DIVERSOS PROTESTOS NO PAÍS, DEU 72 HORAS PARA DELEGAÇÃO DIPLOMÁTICA DOS EUA DEIXAR A VENEZUELA</t>
        </is>
      </c>
      <c r="J1755">
        <f>HYPERLINK("https://www.acritica.com/com-palavr-es-nicolas-maduro-rompe-relac-es-diplomaticas-com-os-eua-1.76484", "URL")</f>
        <v/>
      </c>
      <c r="K1755">
        <f>HYPERLINK("https://raw.githubusercontent.com/marcosmapl/dataset_imigrantes/main/noticias_filtered/a_critica/venezuelanos/2019/00_jan/html/1.76484_165.html", "HTML")</f>
        <v/>
      </c>
      <c r="L1755">
        <f>HYPERLINK("https://raw.githubusercontent.com/marcosmapl/dataset_imigrantes/main/noticias_filtered/a_critica/venezuelanos/2019/00_jan/txt/1.76484_165.txt", "TXT")</f>
        <v/>
      </c>
    </row>
    <row r="1756">
      <c r="A1756" s="1" t="n">
        <v>1754</v>
      </c>
      <c r="B1756" t="n">
        <v>2019</v>
      </c>
      <c r="C1756" s="2" t="n">
        <v>43488.73037037037</v>
      </c>
      <c r="D1756" t="inlineStr">
        <is>
          <t>A CRITICA</t>
        </is>
      </c>
      <c r="E1756" t="inlineStr">
        <is>
          <t>VENEZUELANOS</t>
        </is>
      </c>
      <c r="F1756" t="inlineStr"/>
      <c r="G1756" t="inlineStr">
        <is>
          <t>ACRÍTICA.COM</t>
        </is>
      </c>
      <c r="H1756" t="inlineStr">
        <is>
          <t>BRASIL RECONHECE OPOSITOR DE MADURO COMO PRESIDENTE VENEZUELANO E PROMETE APOIO</t>
        </is>
      </c>
      <c r="I1756" t="inlineStr">
        <is>
          <t>NA NOTA, O MINISTÉRIO DAS RELAÇÕES EXTERIORES AFIRMA QUE 'APOIARÁ POLÍTICA E ECONOMICAMENTE O PROCESSO DE TRANSIÇÃO PARA QUE A DEMOCRACIA E A PAZ SOCIAL VOLTEM À VENEZUELA'</t>
        </is>
      </c>
      <c r="J1756">
        <f>HYPERLINK("https://www.acritica.com/brasil-reconhece-opositor-de-maduro-como-presidente-venezuelano-e-promete-apoio-1.76492", "URL")</f>
        <v/>
      </c>
      <c r="K1756">
        <f>HYPERLINK("https://raw.githubusercontent.com/marcosmapl/dataset_imigrantes/main/noticias_filtered/a_critica/venezuelanos/2019/00_jan/html/1.76492_37.html", "HTML")</f>
        <v/>
      </c>
      <c r="L1756">
        <f>HYPERLINK("https://raw.githubusercontent.com/marcosmapl/dataset_imigrantes/main/noticias_filtered/a_critica/venezuelanos/2019/00_jan/txt/1.76492_37.txt", "TXT")</f>
        <v/>
      </c>
    </row>
    <row r="1757">
      <c r="A1757" s="1" t="n">
        <v>1755</v>
      </c>
      <c r="B1757" t="n">
        <v>2019</v>
      </c>
      <c r="C1757" s="2" t="n">
        <v>43488.70069444444</v>
      </c>
      <c r="D1757" t="inlineStr">
        <is>
          <t>A CRITICA</t>
        </is>
      </c>
      <c r="E1757" t="inlineStr">
        <is>
          <t>VENEZUELANOS</t>
        </is>
      </c>
      <c r="F1757" t="inlineStr"/>
      <c r="G1757" t="inlineStr">
        <is>
          <t>AFP</t>
        </is>
      </c>
      <c r="H1757" t="inlineStr">
        <is>
          <t>DONALD TRUMP RECONHECE OPOSITOR JUAN GUAIDÓ COMO PRESIDENTE DA VENEZUELA</t>
        </is>
      </c>
      <c r="I1757" t="inlineStr">
        <is>
          <t>O CHEFE DO PARLAMENTO VENEZUELANO SE AUTOPROCLAMOU PRESIDENTE DO PAÍS NESTA QUARTA-FEIRA. PARA TRUMP, ELE É O ÚNICO BRAÇO LEGÍTIMO DO GOVERNO ELEITO PELO POVO VENEZUELANO</t>
        </is>
      </c>
      <c r="J1757">
        <f>HYPERLINK("https://www.acritica.com/donald-trump-reconhece-opositor-juan-guaido-como-presidente-da-venezuela-1.76496", "URL")</f>
        <v/>
      </c>
      <c r="K1757">
        <f>HYPERLINK("https://raw.githubusercontent.com/marcosmapl/dataset_imigrantes/main/noticias_filtered/a_critica/venezuelanos/2019/00_jan/html/1.76496_1216.html", "HTML")</f>
        <v/>
      </c>
      <c r="L1757">
        <f>HYPERLINK("https://raw.githubusercontent.com/marcosmapl/dataset_imigrantes/main/noticias_filtered/a_critica/venezuelanos/2019/00_jan/txt/1.76496_1216.txt", "TXT")</f>
        <v/>
      </c>
    </row>
    <row r="1758">
      <c r="A1758" s="1" t="n">
        <v>1756</v>
      </c>
      <c r="B1758" t="n">
        <v>2019</v>
      </c>
      <c r="C1758" s="2" t="n">
        <v>43488.54096064815</v>
      </c>
      <c r="D1758" t="inlineStr">
        <is>
          <t>A CRITICA</t>
        </is>
      </c>
      <c r="E1758" t="inlineStr">
        <is>
          <t>VENEZUELANOS</t>
        </is>
      </c>
      <c r="F1758" t="inlineStr"/>
      <c r="G1758" t="inlineStr">
        <is>
          <t>ALEX RODRIGUES (AGÊNCIA BRASIL)</t>
        </is>
      </c>
      <c r="H1758" t="inlineStr">
        <is>
          <t>GOVERNO ESTUDA REGULARIZAR PERMANÊNCIA DE MÉDICOS CUBANOS NO BRASIL</t>
        </is>
      </c>
      <c r="I1758" t="inlineStr">
        <is>
          <t>AS MEDIDAS SÃO ANALISADAS APÓS O FIM DO ACORDO DE COOPERAÇÃO ENTRE O BRASIL E CUBA PARA PARTICIPAÇÃO NO PROGRAMA MAIS MÉDICOS, ANO PASSADO</t>
        </is>
      </c>
      <c r="J1758">
        <f>HYPERLINK("https://www.acritica.com/governo-estuda-regularizar-permanencia-de-medicos-cubanos-no-brasil-1.76534", "URL")</f>
        <v/>
      </c>
      <c r="K1758">
        <f>HYPERLINK("https://raw.githubusercontent.com/marcosmapl/dataset_imigrantes/main/noticias_filtered/a_critica/venezuelanos/2019/00_jan/html/1.76534_1343.html", "HTML")</f>
        <v/>
      </c>
      <c r="L1758">
        <f>HYPERLINK("https://raw.githubusercontent.com/marcosmapl/dataset_imigrantes/main/noticias_filtered/a_critica/venezuelanos/2019/00_jan/txt/1.76534_1343.txt", "TXT")</f>
        <v/>
      </c>
    </row>
    <row r="1759">
      <c r="A1759" s="1" t="n">
        <v>1757</v>
      </c>
      <c r="B1759" t="n">
        <v>2019</v>
      </c>
      <c r="C1759" s="2" t="n">
        <v>43488.45623347222</v>
      </c>
      <c r="D1759" t="inlineStr">
        <is>
          <t>G1</t>
        </is>
      </c>
      <c r="E1759" t="inlineStr">
        <is>
          <t>HAITIANOS</t>
        </is>
      </c>
      <c r="F1759" t="inlineStr">
        <is>
          <t>RORAIMA</t>
        </is>
      </c>
      <c r="G1759" t="inlineStr">
        <is>
          <t>G1 RR — BOA VISTA</t>
        </is>
      </c>
      <c r="H1759" t="inlineStr">
        <is>
          <t>MULHER É DETIDA COM 110 KG DE ALHO CONTRABANDEADO NA BR-401, EM RR</t>
        </is>
      </c>
      <c r="I1759" t="inlineStr">
        <is>
          <t>PRODUTO ERA TRANSPORTADO EM UM ÔNIBUS DE LINHA DE BONFIM PARA BOA VISTA. ESTA É A QUARTA APREENSÃO DE PRODUTOS ILEGAIS EM MENOS DE UMA SEMANA.</t>
        </is>
      </c>
      <c r="J1759">
        <f>HYPERLINK("https://g1.globo.com/rr/roraima/noticia/2019/01/23/mulher-e-presa-com-110-kg-de-alho-contrabandeado-na-br-401-em-rr.ghtml", "URL")</f>
        <v/>
      </c>
      <c r="K1759">
        <f>HYPERLINK("https://raw.githubusercontent.com/marcosmapl/dataset_imigrantes/main/noticias_filtered/g1/haitianos/2019/00_jan/html/g1_abb4e9c0-2315-11ed-b24f-6dbe51e79fca_3099.html", "HTML")</f>
        <v/>
      </c>
      <c r="L1759">
        <f>HYPERLINK("https://raw.githubusercontent.com/marcosmapl/dataset_imigrantes/main/noticias_filtered/g1/haitianos/2019/00_jan/txt/g1_abb4e9c0-2315-11ed-b24f-6dbe51e79fca_3099.txt", "TXT")</f>
        <v/>
      </c>
    </row>
    <row r="1760">
      <c r="A1760" s="1" t="n">
        <v>1758</v>
      </c>
      <c r="B1760" t="n">
        <v>2019</v>
      </c>
      <c r="C1760" s="2" t="n">
        <v>43487.62654057871</v>
      </c>
      <c r="D1760" t="inlineStr">
        <is>
          <t>G1</t>
        </is>
      </c>
      <c r="E1760" t="inlineStr">
        <is>
          <t>VENEZUELANOS</t>
        </is>
      </c>
      <c r="F1760" t="inlineStr">
        <is>
          <t>RORAIMA</t>
        </is>
      </c>
      <c r="G1760" t="inlineStr">
        <is>
          <t>MARCELO MARQUES, G1 RR — BOA VISTA</t>
        </is>
      </c>
      <c r="H1760" t="inlineStr">
        <is>
          <t>VENEZUELANO É ESFAQUEADO ENQUANTO DORMIA E AGREDIDO A PAULADAS POR TRÊS HOMENS EM CALÇADA DE BOA VISTA</t>
        </is>
      </c>
      <c r="I1760" t="inlineStr">
        <is>
          <t>IMAGENS FORAM REGISTRADAS POR CÂMERA DE SEGURANÇA DE UMA AUTOPEÇAS, ONDE A VÍTIMA E OUTROS IMIGRANTES DORMIAM. NINGUÉM FOI PRESO.</t>
        </is>
      </c>
      <c r="J1760">
        <f>HYPERLINK("https://g1.globo.com/rr/roraima/noticia/2019/01/22/venezuelano-e-esfaqueado-enquanto-dormia-e-agredido-a-pauladas-por-tres-homens-em-calcada-de-boa-vista.ghtml", "URL")</f>
        <v/>
      </c>
      <c r="K1760">
        <f>HYPERLINK("https://raw.githubusercontent.com/marcosmapl/dataset_imigrantes/main/noticias_filtered/g1/venezuelanos/2019/00_jan/html/g1_44742730-230b-11ed-b24f-6dbe51e79fca_2556.html", "HTML")</f>
        <v/>
      </c>
      <c r="L1760">
        <f>HYPERLINK("https://raw.githubusercontent.com/marcosmapl/dataset_imigrantes/main/noticias_filtered/g1/venezuelanos/2019/00_jan/txt/g1_44742730-230b-11ed-b24f-6dbe51e79fca_2556.txt", "TXT")</f>
        <v/>
      </c>
    </row>
    <row r="1761">
      <c r="A1761" s="1" t="n">
        <v>1759</v>
      </c>
      <c r="B1761" t="n">
        <v>2019</v>
      </c>
      <c r="C1761" s="2" t="n">
        <v>43487.45416666667</v>
      </c>
      <c r="D1761" t="inlineStr">
        <is>
          <t>A CRITICA</t>
        </is>
      </c>
      <c r="E1761" t="inlineStr">
        <is>
          <t>VENEZUELANOS</t>
        </is>
      </c>
      <c r="F1761" t="inlineStr"/>
      <c r="G1761" t="inlineStr">
        <is>
          <t>AGÊNCIA BRASIL</t>
        </is>
      </c>
      <c r="H1761" t="inlineStr">
        <is>
          <t>VIA TWITTER, BOLSONARO DIZ QUE MINISTROS MAPEIAM OS PROBLEMAS DO BRASIL</t>
        </is>
      </c>
      <c r="I1761" t="inlineStr">
        <is>
          <t>O PRESIDENTE ESTÁ EM DAVOS, NA SUÍÇA, PARA PARTICIPAR DO FÓRUM ECONÔMICO MUNDIAL, MAS SE MANIFESTOU PELAS REDES SOCIAIS NESTA TERÇA-FEIRA</t>
        </is>
      </c>
      <c r="J1761">
        <f>HYPERLINK("https://www.acritica.com/via-twitter-bolsonaro-diz-que-ministros-mapeiam-os-problemas-do-brasil-1.77109", "URL")</f>
        <v/>
      </c>
      <c r="K1761">
        <f>HYPERLINK("https://raw.githubusercontent.com/marcosmapl/dataset_imigrantes/main/noticias_filtered/a_critica/venezuelanos/2019/00_jan/html/1.77109_392.html", "HTML")</f>
        <v/>
      </c>
      <c r="L1761">
        <f>HYPERLINK("https://raw.githubusercontent.com/marcosmapl/dataset_imigrantes/main/noticias_filtered/a_critica/venezuelanos/2019/00_jan/txt/1.77109_392.txt", "TXT")</f>
        <v/>
      </c>
    </row>
    <row r="1762">
      <c r="A1762" s="1" t="n">
        <v>1760</v>
      </c>
      <c r="B1762" t="n">
        <v>2019</v>
      </c>
      <c r="C1762" s="2" t="n">
        <v>43486.96111111111</v>
      </c>
      <c r="D1762" t="inlineStr">
        <is>
          <t>A CRITICA</t>
        </is>
      </c>
      <c r="E1762" t="inlineStr">
        <is>
          <t>VENEZUELANOS</t>
        </is>
      </c>
      <c r="F1762" t="inlineStr">
        <is>
          <t>ESPORTES</t>
        </is>
      </c>
      <c r="G1762" t="inlineStr">
        <is>
          <t>VALTER CARDOSO</t>
        </is>
      </c>
      <c r="H1762" t="inlineStr">
        <is>
          <t>LANA ELOGIA EVOLUÇÃO DEFENSIVA DO NACIONAL DURANTE PREPARAÇÃO PARA O BAREZÃO</t>
        </is>
      </c>
      <c r="I1762" t="inlineStr">
        <is>
          <t>O TÉCNICO ADERBAL LANA ELOGIA PARTE DEFENSIVA DO TIME DO NACIONAL, MAS PRECISA DEFINIR SETOR OFENSIVO DA EQUIPE ATÉ O INÍCIO DO CAMPEONATO AMAZONENSE</t>
        </is>
      </c>
      <c r="J1762">
        <f>HYPERLINK("https://www.acritica.com/esportes/lana-elogia-evoluc-o-defensiva-do-nacional-durante-preparac-o-para-o-barez-o-1.77119", "URL")</f>
        <v/>
      </c>
      <c r="K1762">
        <f>HYPERLINK("https://raw.githubusercontent.com/marcosmapl/dataset_imigrantes/main/noticias_filtered/a_critica/venezuelanos/2019/00_jan/html/1.77119_156.html", "HTML")</f>
        <v/>
      </c>
      <c r="L1762">
        <f>HYPERLINK("https://raw.githubusercontent.com/marcosmapl/dataset_imigrantes/main/noticias_filtered/a_critica/venezuelanos/2019/00_jan/txt/1.77119_156.txt", "TXT")</f>
        <v/>
      </c>
    </row>
    <row r="1763">
      <c r="A1763" s="1" t="n">
        <v>1761</v>
      </c>
      <c r="B1763" t="n">
        <v>2019</v>
      </c>
      <c r="C1763" s="2" t="n">
        <v>43485.95407407408</v>
      </c>
      <c r="D1763" t="inlineStr">
        <is>
          <t>A CRITICA</t>
        </is>
      </c>
      <c r="E1763" t="inlineStr">
        <is>
          <t>VENEZUELANOS</t>
        </is>
      </c>
      <c r="F1763" t="inlineStr">
        <is>
          <t>ESPORTES</t>
        </is>
      </c>
      <c r="G1763" t="inlineStr">
        <is>
          <t>GABRIEL FERREIRA</t>
        </is>
      </c>
      <c r="H1763" t="inlineStr">
        <is>
          <t>FAST SAI DERROTADO POR 2 A 0 NA VENEZUELA EM AMISTOSO PREPARATÓRIO À TEMPORADA 2019</t>
        </is>
      </c>
      <c r="I1763" t="inlineStr">
        <is>
          <t>A EQUIPE AMAZONENSE AINDA TEM MAIS DOIS COMPROMISSOS NO PAÍS VIZINHO E TERMINA JOGANDO EM RORAIMA</t>
        </is>
      </c>
      <c r="J1763">
        <f>HYPERLINK("https://www.acritica.com/esportes/fast-sai-derrotado-por-2-a-0-na-venezuela-em-amistoso-preparatorio-a-temporada-2019-1.76627", "URL")</f>
        <v/>
      </c>
      <c r="K1763">
        <f>HYPERLINK("https://raw.githubusercontent.com/marcosmapl/dataset_imigrantes/main/noticias_filtered/a_critica/venezuelanos/2019/00_jan/html/1.76627_758.html", "HTML")</f>
        <v/>
      </c>
      <c r="L1763">
        <f>HYPERLINK("https://raw.githubusercontent.com/marcosmapl/dataset_imigrantes/main/noticias_filtered/a_critica/venezuelanos/2019/00_jan/txt/1.76627_758.txt", "TXT")</f>
        <v/>
      </c>
    </row>
    <row r="1764">
      <c r="A1764" s="1" t="n">
        <v>1762</v>
      </c>
      <c r="B1764" t="n">
        <v>2019</v>
      </c>
      <c r="C1764" s="2" t="n">
        <v>43485.84930555556</v>
      </c>
      <c r="D1764" t="inlineStr">
        <is>
          <t>A CRITICA</t>
        </is>
      </c>
      <c r="E1764" t="inlineStr">
        <is>
          <t>HAITIANOS</t>
        </is>
      </c>
      <c r="F1764" t="inlineStr">
        <is>
          <t>MANAUS</t>
        </is>
      </c>
      <c r="G1764" t="inlineStr">
        <is>
          <t>IZABEL GUEDES</t>
        </is>
      </c>
      <c r="H1764" t="inlineStr">
        <is>
          <t>SE ENGAJAR EM PROJETOS SOCIAIS É OPÇÃO PARA INICIAR 2019 DE FORMA DIFERENTE</t>
        </is>
      </c>
      <c r="I1764" t="inlineStr">
        <is>
          <t>SEJA DOANDO TEMPO EM ABRIGOS, PROJETOS DE LINGUAGEM, RECOLHENDO ANIMAIS OU ATÉ MESMO POR INICIATIVA PRÓPRIA, AMAZONENSES TÊM CONTRIBUÍDO PARA MELHORAR O MUNDO</t>
        </is>
      </c>
      <c r="J1764">
        <f>HYPERLINK("https://www.acritica.com/manaus/se-engajar-em-projetos-sociais-e-opc-o-para-iniciar-2019-de-forma-diferente-1.76669", "URL")</f>
        <v/>
      </c>
      <c r="K1764">
        <f>HYPERLINK("https://raw.githubusercontent.com/marcosmapl/dataset_imigrantes/main/noticias_filtered/a_critica/haitianos/2019/00_jan/html/1.76669_820.html", "HTML")</f>
        <v/>
      </c>
      <c r="L1764">
        <f>HYPERLINK("https://raw.githubusercontent.com/marcosmapl/dataset_imigrantes/main/noticias_filtered/a_critica/haitianos/2019/00_jan/txt/1.76669_820.txt", "TXT")</f>
        <v/>
      </c>
    </row>
    <row r="1765">
      <c r="A1765" s="1" t="n">
        <v>1763</v>
      </c>
      <c r="B1765" t="n">
        <v>2019</v>
      </c>
      <c r="C1765" s="2" t="n">
        <v>43484.86257898148</v>
      </c>
      <c r="D1765" t="inlineStr">
        <is>
          <t>G1</t>
        </is>
      </c>
      <c r="E1765" t="inlineStr">
        <is>
          <t>VENEZUELANOS</t>
        </is>
      </c>
      <c r="F1765" t="inlineStr">
        <is>
          <t>PARAÍBA</t>
        </is>
      </c>
      <c r="G1765" t="inlineStr">
        <is>
          <t>FELÍCIA ARBEX, TV CABO BRANCO</t>
        </is>
      </c>
      <c r="H1765" t="inlineStr">
        <is>
          <t>VENEZUELANO É ESFAQUEADO PELO PADRASTO NO CONDE,PB, DIZ POLÍCIA</t>
        </is>
      </c>
      <c r="I1765" t="inlineStr">
        <is>
          <t>AS FACADAS ACONTECERAM DURANTE UMA DISCUSSÃO ENTRE O RAPAZ E O PADRASTO. A VÍTIMA E OS PARENTES SÃO REFUGIADOS DA VENEZUELA.</t>
        </is>
      </c>
      <c r="J1765">
        <f>HYPERLINK("https://g1.globo.com/pb/paraiba/noticia/2019/01/19/venezuelano-e-esfaqueado-pelo-padrasto-no-condepb-diz-policia.ghtml", "URL")</f>
        <v/>
      </c>
      <c r="K1765">
        <f>HYPERLINK("https://raw.githubusercontent.com/marcosmapl/dataset_imigrantes/main/noticias_filtered/g1/venezuelanos/2019/00_jan/html/g1_0978be80-2328-11ed-b24f-6dbe51e79fca_4061.html", "HTML")</f>
        <v/>
      </c>
      <c r="L1765">
        <f>HYPERLINK("https://raw.githubusercontent.com/marcosmapl/dataset_imigrantes/main/noticias_filtered/g1/venezuelanos/2019/00_jan/txt/g1_0978be80-2328-11ed-b24f-6dbe51e79fca_4061.txt", "TXT")</f>
        <v/>
      </c>
    </row>
    <row r="1766">
      <c r="A1766" s="1" t="n">
        <v>1764</v>
      </c>
      <c r="B1766" t="n">
        <v>2019</v>
      </c>
      <c r="C1766" s="2" t="n">
        <v>43484.80208333334</v>
      </c>
      <c r="D1766" t="inlineStr">
        <is>
          <t>A CRITICA</t>
        </is>
      </c>
      <c r="E1766" t="inlineStr">
        <is>
          <t>VENEZUELANOS</t>
        </is>
      </c>
      <c r="F1766" t="inlineStr">
        <is>
          <t>ESPORTES</t>
        </is>
      </c>
      <c r="G1766" t="inlineStr">
        <is>
          <t>GABRIEL FERREIRA</t>
        </is>
      </c>
      <c r="H1766" t="inlineStr">
        <is>
          <t>PENAROL APRESENTA JOGADOR VENEZUELANO COMO REFORÇO DO TIME NA TEMPORADA 2019</t>
        </is>
      </c>
      <c r="I1766" t="inlineStr">
        <is>
          <t>O ATACANTE JHORMAN ROJAS FOI DESTAQUE DO CAMPEONATO AMAZONENSE DO ANO PASSADO JOGANDO PELO FAST CLUBE. AGORA ELE ENTRA NA EQUIPE DO LEÃO DA VELHA SERPA</t>
        </is>
      </c>
      <c r="J1766">
        <f>HYPERLINK("https://www.acritica.com/esportes/penarol-apresenta-jogador-venezuelano-como-reforco-do-time-na-temporada-2019-1.76691", "URL")</f>
        <v/>
      </c>
      <c r="K1766">
        <f>HYPERLINK("https://raw.githubusercontent.com/marcosmapl/dataset_imigrantes/main/noticias_filtered/a_critica/venezuelanos/2019/00_jan/html/1.76691_346.html", "HTML")</f>
        <v/>
      </c>
      <c r="L1766">
        <f>HYPERLINK("https://raw.githubusercontent.com/marcosmapl/dataset_imigrantes/main/noticias_filtered/a_critica/venezuelanos/2019/00_jan/txt/1.76691_346.txt", "TXT")</f>
        <v/>
      </c>
    </row>
    <row r="1767">
      <c r="A1767" s="1" t="n">
        <v>1765</v>
      </c>
      <c r="B1767" t="n">
        <v>2019</v>
      </c>
      <c r="C1767" s="2" t="n">
        <v>43484.64305555556</v>
      </c>
      <c r="D1767" t="inlineStr">
        <is>
          <t>A CRITICA</t>
        </is>
      </c>
      <c r="E1767" t="inlineStr">
        <is>
          <t>VENEZUELANOS</t>
        </is>
      </c>
      <c r="F1767" t="inlineStr"/>
      <c r="G1767" t="inlineStr">
        <is>
          <t>VICTOR RIBEIRO (AGÊNCIA BRASIL)</t>
        </is>
      </c>
      <c r="H1767" t="inlineStr">
        <is>
          <t>DIFTERIA ENTRE VENEZUELANOS PREOCUPA MINISTÉRIO DA SAÚDE BRASILEIRO</t>
        </is>
      </c>
      <c r="I1767" t="inlineStr">
        <is>
          <t>O MINISTRO LUIZ HENRIQUE MANDETTA ESTEVE EM PACARAIMA, EM RORAIMA, E DISSE QUE A VACINAÇÃO É A FORMA MAIS EFICAZ DE EVITAR SURTOS NO BRASIL</t>
        </is>
      </c>
      <c r="J1767">
        <f>HYPERLINK("https://www.acritica.com/difteria-entre-venezuelanos-preocupa-ministerio-da-saude-brasileiro-1.76683", "URL")</f>
        <v/>
      </c>
      <c r="K1767">
        <f>HYPERLINK("https://raw.githubusercontent.com/marcosmapl/dataset_imigrantes/main/noticias_filtered/a_critica/venezuelanos/2019/00_jan/html/1.76683_437.html", "HTML")</f>
        <v/>
      </c>
      <c r="L1767">
        <f>HYPERLINK("https://raw.githubusercontent.com/marcosmapl/dataset_imigrantes/main/noticias_filtered/a_critica/venezuelanos/2019/00_jan/txt/1.76683_437.txt", "TXT")</f>
        <v/>
      </c>
    </row>
    <row r="1768">
      <c r="A1768" s="1" t="n">
        <v>1766</v>
      </c>
      <c r="B1768" t="n">
        <v>2019</v>
      </c>
      <c r="C1768" s="2" t="n">
        <v>43483.88591756945</v>
      </c>
      <c r="D1768" t="inlineStr">
        <is>
          <t>G1</t>
        </is>
      </c>
      <c r="E1768" t="inlineStr">
        <is>
          <t>VENEZUELANOS</t>
        </is>
      </c>
      <c r="F1768" t="inlineStr">
        <is>
          <t>POLÍTICA</t>
        </is>
      </c>
      <c r="G1768" t="inlineStr">
        <is>
          <t>GUSTAVO GARCIA E ELISA CLAVERY, G1 E TV GLOBO — BRASÍLIA</t>
        </is>
      </c>
      <c r="H1768" t="inlineStr">
        <is>
          <t>MORO RECEBE PRESIDENTE DO TRIBUNAL SUPREMO DA VENEZUELA NO EXÍLIO</t>
        </is>
      </c>
      <c r="I1768" t="inlineStr">
        <is>
          <t>MIGUEL ÁNGEL MARTÍN PEDIU ATUAÇÃO DO BRASIL CONTRA O QUE CHAMOU DE 'CRIME TRANSNACIONAL'.  MINISTÉRIO DA JUSTIÇA DISSE QUE MORO FOI ‘SOLIDÁRIO’, MAS NÃO SE COMPROMETEU A ATENDER AO PEDIDO.</t>
        </is>
      </c>
      <c r="J1768">
        <f>HYPERLINK("https://g1.globo.com/politica/noticia/2019/01/18/moro-recebe-presidente-do-tribunal-supremo-da-venezuela-no-exilio.ghtml", "URL")</f>
        <v/>
      </c>
      <c r="K1768">
        <f>HYPERLINK("https://raw.githubusercontent.com/marcosmapl/dataset_imigrantes/main/noticias_filtered/g1/venezuelanos/2019/00_jan/html/g1_370a2058-230c-11ed-b24f-6dbe51e79fca_2610.html", "HTML")</f>
        <v/>
      </c>
      <c r="L1768">
        <f>HYPERLINK("https://raw.githubusercontent.com/marcosmapl/dataset_imigrantes/main/noticias_filtered/g1/venezuelanos/2019/00_jan/txt/g1_370a2058-230c-11ed-b24f-6dbe51e79fca_2610.txt", "TXT")</f>
        <v/>
      </c>
    </row>
    <row r="1769">
      <c r="A1769" s="1" t="n">
        <v>1767</v>
      </c>
      <c r="B1769" t="n">
        <v>2019</v>
      </c>
      <c r="C1769" s="2" t="n">
        <v>43483.63478778935</v>
      </c>
      <c r="D1769" t="inlineStr">
        <is>
          <t>G1</t>
        </is>
      </c>
      <c r="E1769" t="inlineStr">
        <is>
          <t>VENEZUELANOS</t>
        </is>
      </c>
      <c r="F1769" t="inlineStr">
        <is>
          <t>MUNDO</t>
        </is>
      </c>
      <c r="G1769" t="inlineStr">
        <is>
          <t>REUTERS</t>
        </is>
      </c>
      <c r="H1769" t="inlineStr">
        <is>
          <t>MÉDICOS CUBANOS QUE TRABALHARAM NO BRASIL CHEGAM À VENEZUELA NA PRÓXIMA SEMANA, DIZ MADURO</t>
        </is>
      </c>
      <c r="I1769" t="inlineStr">
        <is>
          <t>SEGUNDO PRESIDENTE VENEZUELANO, 2 MIL MÉDICOS CUBANOS DEVEM DESEMBARCAR NA VENEZUELA. EM NOVEMBRO, HAVANA SAIU DE ACORDO COM O BRASIL, EM REAÇÃO A CRÍTICAS DE JAIR BOLSONARO.</t>
        </is>
      </c>
      <c r="J1769">
        <f>HYPERLINK("https://g1.globo.com/mundo/noticia/2019/01/18/medicos-cubanos-que-trabalharam-no-brasil-chegam-na-venezuela-na-proxima-semana-diz-maduro.ghtml", "URL")</f>
        <v/>
      </c>
      <c r="K1769">
        <f>HYPERLINK("https://raw.githubusercontent.com/marcosmapl/dataset_imigrantes/main/noticias_filtered/g1/venezuelanos/2019/00_jan/html/g1_5b4e304a-230b-11ed-b24f-6dbe51e79fca_2560.html", "HTML")</f>
        <v/>
      </c>
      <c r="L1769">
        <f>HYPERLINK("https://raw.githubusercontent.com/marcosmapl/dataset_imigrantes/main/noticias_filtered/g1/venezuelanos/2019/00_jan/txt/g1_5b4e304a-230b-11ed-b24f-6dbe51e79fca_2560.txt", "TXT")</f>
        <v/>
      </c>
    </row>
    <row r="1770">
      <c r="A1770" s="1" t="n">
        <v>1768</v>
      </c>
      <c r="B1770" t="n">
        <v>2019</v>
      </c>
      <c r="C1770" s="2" t="n">
        <v>43483.52377314815</v>
      </c>
      <c r="D1770" t="inlineStr">
        <is>
          <t>A CRITICA</t>
        </is>
      </c>
      <c r="E1770" t="inlineStr">
        <is>
          <t>VENEZUELANOS</t>
        </is>
      </c>
      <c r="F1770" t="inlineStr"/>
      <c r="G1770" t="inlineStr">
        <is>
          <t>VICTOR RIBEIRO (AGÊNCIA BRASIL)</t>
        </is>
      </c>
      <c r="H1770" t="inlineStr">
        <is>
          <t>GOVERNO PRORROGA POR UM ANO OPERAÇÃO ACOLHIDA A VENEZUELANOS</t>
        </is>
      </c>
      <c r="I1770" t="inlineStr">
        <is>
          <t>AÇÃO PROMOVE ABRIGO E INTERIORIZAÇÃO DE IMIGRANTES E REFUGIADOS DA VENEZUELA. ASSIM, NÃO HÁ POSSIBILIDADE DE FECHAMENTO DA FRONTEIRA</t>
        </is>
      </c>
      <c r="J1770">
        <f>HYPERLINK("https://www.acritica.com/governo-prorroga-por-um-ano-operac-o-acolhida-a-venezuelanos-1.77188", "URL")</f>
        <v/>
      </c>
      <c r="K1770">
        <f>HYPERLINK("https://raw.githubusercontent.com/marcosmapl/dataset_imigrantes/main/noticias_filtered/a_critica/venezuelanos/2019/00_jan/html/1.77188_754.html", "HTML")</f>
        <v/>
      </c>
      <c r="L1770">
        <f>HYPERLINK("https://raw.githubusercontent.com/marcosmapl/dataset_imigrantes/main/noticias_filtered/a_critica/venezuelanos/2019/00_jan/txt/1.77188_754.txt", "TXT")</f>
        <v/>
      </c>
    </row>
    <row r="1771">
      <c r="A1771" s="1" t="n">
        <v>1769</v>
      </c>
      <c r="B1771" t="n">
        <v>2019</v>
      </c>
      <c r="C1771" s="2" t="n">
        <v>43483.48680555556</v>
      </c>
      <c r="D1771" t="inlineStr">
        <is>
          <t>PORTAL AMAZONIA</t>
        </is>
      </c>
      <c r="E1771" t="inlineStr">
        <is>
          <t>VENEZUELANOS</t>
        </is>
      </c>
      <c r="F1771" t="inlineStr">
        <is>
          <t>CIDADES</t>
        </is>
      </c>
      <c r="G1771" t="inlineStr">
        <is>
          <t>REDAÇÃO</t>
        </is>
      </c>
      <c r="H1771" t="inlineStr">
        <is>
          <t>GOVERNO FEDERAL PRORROGA OPERAÇÃO ACOLHIDA A VENEZUELANOS ATÉ MARÇO DE 2020</t>
        </is>
      </c>
      <c r="I1771" t="inlineStr">
        <is>
          <t>A OPERAÇÃO ACOLHIDA, QUE RECEBE E PROMOVE A INTERIORIZAÇÃO DE IMIGRANTES E REFUGIADOS VENEZUELANOS, SERÁ PRORROGADA ATÉ MARÇO DE 2020, SEM POSSIBILIDADE DE FECHAMENTO DA FRONTEIRA COM A VENEZUELA. A DECISÃO FOI ANUNCIADA PELO MINISTRO DA DEFESA, FERN</t>
        </is>
      </c>
      <c r="J1771">
        <f>HYPERLINK("https://portalamazonia.com/noticias/cidades/governo-federal-prorroga-operacao-acolhida-a-venezuelanos-ate-marco-de-2020", "URL")</f>
        <v/>
      </c>
      <c r="K1771">
        <f>HYPERLINK("https://raw.githubusercontent.com/marcosmapl/dataset_imigrantes/main/noticias_filtered/portal_amazonia/venezuelanos/2019/00_jan/html/16801.16801_1564.html", "HTML")</f>
        <v/>
      </c>
      <c r="L1771">
        <f>HYPERLINK("https://raw.githubusercontent.com/marcosmapl/dataset_imigrantes/main/noticias_filtered/portal_amazonia/venezuelanos/2019/00_jan/txt/16801.16801_1564.txt", "TXT")</f>
        <v/>
      </c>
    </row>
    <row r="1772">
      <c r="A1772" s="1" t="n">
        <v>1770</v>
      </c>
      <c r="B1772" t="n">
        <v>2019</v>
      </c>
      <c r="C1772" s="2" t="n">
        <v>43483.37547162037</v>
      </c>
      <c r="D1772" t="inlineStr">
        <is>
          <t>G1</t>
        </is>
      </c>
      <c r="E1772" t="inlineStr">
        <is>
          <t>HAITIANOS</t>
        </is>
      </c>
      <c r="F1772" t="inlineStr">
        <is>
          <t>RIO DE JANEIRO</t>
        </is>
      </c>
      <c r="G1772" t="inlineStr">
        <is>
          <t>CRISTINA BOECKEL E DAIENE DOS SANTOS*, G1 RIO</t>
        </is>
      </c>
      <c r="H1772" t="inlineStr">
        <is>
          <t>HAITIANO SE FORMA ENGENHEIRO NO RIO E SONHA RECONSTRUIR COMUNIDADE DESTRUÍDA POR TERREMOTO</t>
        </is>
      </c>
      <c r="I1772" t="inlineStr">
        <is>
          <t>COM O CONHECIMENTO ADQUIRIDO NO BRASIL, ELE QUER CONSTRUIR CASAS POPULARES EM SEU PAÍS DE ORIGEM.</t>
        </is>
      </c>
      <c r="J1772">
        <f>HYPERLINK("https://g1.globo.com/rj/rio-de-janeiro/noticia/2019/01/18/haitiano-se-forma-engenheiro-no-rio-e-sonha-reconstruir-comunidade-destruida-por-terremoto.ghtml", "URL")</f>
        <v/>
      </c>
      <c r="K1772">
        <f>HYPERLINK("https://raw.githubusercontent.com/marcosmapl/dataset_imigrantes/main/noticias_filtered/g1/haitianos/2019/00_jan/html/g1_4960fe6a-22f4-11ed-b24f-6dbe51e79fca_1881.html", "HTML")</f>
        <v/>
      </c>
      <c r="L1772">
        <f>HYPERLINK("https://raw.githubusercontent.com/marcosmapl/dataset_imigrantes/main/noticias_filtered/g1/haitianos/2019/00_jan/txt/g1_4960fe6a-22f4-11ed-b24f-6dbe51e79fca_1881.txt", "TXT")</f>
        <v/>
      </c>
    </row>
    <row r="1773">
      <c r="A1773" s="1" t="n">
        <v>1771</v>
      </c>
      <c r="B1773" t="n">
        <v>2019</v>
      </c>
      <c r="C1773" s="2" t="n">
        <v>43482.9137962963</v>
      </c>
      <c r="D1773" t="inlineStr">
        <is>
          <t>A CRITICA</t>
        </is>
      </c>
      <c r="E1773" t="inlineStr">
        <is>
          <t>VENEZUELANOS</t>
        </is>
      </c>
      <c r="F1773" t="inlineStr"/>
      <c r="G1773" t="inlineStr">
        <is>
          <t>MARCELO BRANDÃO (AGÊNCIA BRASIL)</t>
        </is>
      </c>
      <c r="H1773" t="inlineStr">
        <is>
          <t>JAIR BOLSONARO ACREDITA QUE SOLUÇÃO PARA CRISE NA VENEZUELA VIRÁ EM BREVE</t>
        </is>
      </c>
      <c r="I1773" t="inlineStr">
        <is>
          <t>“TUDO NÓS FAREMOS PARA QUE A DEMOCRACIA SEJA RESTABELECIDA. A GENTE PEDE A DEUS, EM PRIMEIRO LUGAR, E DEPOIS CONTINUAREMOS FAZENDO O POSSÍVEL", DISSE O PRESIDENTE EM ENCONTRO COM CHEFE DO SUPREMO VENEZUELANO</t>
        </is>
      </c>
      <c r="J1773">
        <f>HYPERLINK("https://www.acritica.com/jair-bolsonaro-acredita-que-soluc-o-para-crise-na-venezuela-vira-em-breve-1.77266", "URL")</f>
        <v/>
      </c>
      <c r="K1773">
        <f>HYPERLINK("https://raw.githubusercontent.com/marcosmapl/dataset_imigrantes/main/noticias_filtered/a_critica/venezuelanos/2019/00_jan/html/1.77266_1242.html", "HTML")</f>
        <v/>
      </c>
      <c r="L1773">
        <f>HYPERLINK("https://raw.githubusercontent.com/marcosmapl/dataset_imigrantes/main/noticias_filtered/a_critica/venezuelanos/2019/00_jan/txt/1.77266_1242.txt", "TXT")</f>
        <v/>
      </c>
    </row>
    <row r="1774">
      <c r="A1774" s="1" t="n">
        <v>1772</v>
      </c>
      <c r="B1774" t="n">
        <v>2019</v>
      </c>
      <c r="C1774" s="2" t="n">
        <v>43482.76660928241</v>
      </c>
      <c r="D1774" t="inlineStr">
        <is>
          <t>G1</t>
        </is>
      </c>
      <c r="E1774" t="inlineStr">
        <is>
          <t>VENEZUELANOS</t>
        </is>
      </c>
      <c r="F1774" t="inlineStr">
        <is>
          <t>POLÍTICA</t>
        </is>
      </c>
      <c r="G1774" t="inlineStr">
        <is>
          <t>GUILHERME MAZUI, G1 — BRASÍLIA</t>
        </is>
      </c>
      <c r="H1774" t="inlineStr">
        <is>
          <t>BOLSONARO RECEBE OPOSICIONISTA VENEZUELANO, INFORMA PLANALTO</t>
        </is>
      </c>
      <c r="I1774" t="inlineStr">
        <is>
          <t>PRESIDENTE DO TRIBUNAL SUPREMO DE JUSTIÇA NO EXÍLIO, MIGUEL ÁNGEL MARTÍN VEIO AO BRASIL NESTA QUINTA (17) PARA PEDIR APOIO DO GOVERNO BRASILEIRO PARA PRESSIONAR NICOLÁS MADURO.</t>
        </is>
      </c>
      <c r="J1774">
        <f>HYPERLINK("https://g1.globo.com/politica/noticia/2019/01/17/bolsonaro-recebe-oposicionista-venezuelano-informa-planalto.ghtml", "URL")</f>
        <v/>
      </c>
      <c r="K1774">
        <f>HYPERLINK("https://raw.githubusercontent.com/marcosmapl/dataset_imigrantes/main/noticias_filtered/g1/venezuelanos/2019/00_jan/html/g1_c02ccc3c-2316-11ed-b24f-6dbe51e79fca_3167.html", "HTML")</f>
        <v/>
      </c>
      <c r="L1774">
        <f>HYPERLINK("https://raw.githubusercontent.com/marcosmapl/dataset_imigrantes/main/noticias_filtered/g1/venezuelanos/2019/00_jan/txt/g1_c02ccc3c-2316-11ed-b24f-6dbe51e79fca_3167.txt", "TXT")</f>
        <v/>
      </c>
    </row>
    <row r="1775">
      <c r="A1775" s="1" t="n">
        <v>1773</v>
      </c>
      <c r="B1775" t="n">
        <v>2019</v>
      </c>
      <c r="C1775" s="2" t="n">
        <v>43482.53498842593</v>
      </c>
      <c r="D1775" t="inlineStr">
        <is>
          <t>A CRITICA</t>
        </is>
      </c>
      <c r="E1775" t="inlineStr">
        <is>
          <t>VENEZUELANOS</t>
        </is>
      </c>
      <c r="F1775" t="inlineStr"/>
      <c r="G1775" t="inlineStr">
        <is>
          <t>CAMILA MACIEL (AGÊNCIA BRASIL)</t>
        </is>
      </c>
      <c r="H1775" t="inlineStr">
        <is>
          <t>BRASIL BATE RECORDE DE MORTES VIOLENTAS EM 2017, COM 63.880 ASSASSINATOS</t>
        </is>
      </c>
      <c r="I1775" t="inlineStr">
        <is>
          <t>NO MESMO ANO, AS MORTES COMETIDAS POR POLICIAIS EM SERVIÇO E DE FOLGA CRESCERAM 20% NA COMPARAÇÃO COM 2016. DADOS INTEGRAM RELATÓRIO DA HUMAN RIGHTS WATCH</t>
        </is>
      </c>
      <c r="J1775">
        <f>HYPERLINK("https://www.acritica.com/brasil-bate-recorde-de-mortes-violentas-em-2017-com-63-880-assassinatos-1.77391", "URL")</f>
        <v/>
      </c>
      <c r="K1775">
        <f>HYPERLINK("https://raw.githubusercontent.com/marcosmapl/dataset_imigrantes/main/noticias_filtered/a_critica/venezuelanos/2019/00_jan/html/1.77391_1030.html", "HTML")</f>
        <v/>
      </c>
      <c r="L1775">
        <f>HYPERLINK("https://raw.githubusercontent.com/marcosmapl/dataset_imigrantes/main/noticias_filtered/a_critica/venezuelanos/2019/00_jan/txt/1.77391_1030.txt", "TXT")</f>
        <v/>
      </c>
    </row>
    <row r="1776">
      <c r="A1776" s="1" t="n">
        <v>1774</v>
      </c>
      <c r="B1776" t="n">
        <v>2019</v>
      </c>
      <c r="C1776" s="2" t="n">
        <v>43481.88478009259</v>
      </c>
      <c r="D1776" t="inlineStr">
        <is>
          <t>A CRITICA</t>
        </is>
      </c>
      <c r="E1776" t="inlineStr">
        <is>
          <t>VENEZUELANOS</t>
        </is>
      </c>
      <c r="F1776" t="inlineStr"/>
      <c r="G1776" t="inlineStr">
        <is>
          <t>REUTERS</t>
        </is>
      </c>
      <c r="H1776" t="inlineStr">
        <is>
          <t>JAIR BOLSONARO E MAURICIO MACRI AUMENTAM PRESSÃO SOBRE MADURO</t>
        </is>
      </c>
      <c r="I1776" t="inlineStr">
        <is>
          <t>BOLSONARO, EM PRONUNCIAMENTO FEITO AO LADO DO LÍDER ARGENTINO, DESTACOU A COOPERAÇÃO ENTRE BRASIL E ARGENTINA SOBRE A VENEZUELA</t>
        </is>
      </c>
      <c r="J1776">
        <f>HYPERLINK("https://www.acritica.com/jair-bolsonaro-e-mauricio-macri-aumentam-press-o-sobre-maduro-1.77399", "URL")</f>
        <v/>
      </c>
      <c r="K1776">
        <f>HYPERLINK("https://raw.githubusercontent.com/marcosmapl/dataset_imigrantes/main/noticias_filtered/a_critica/venezuelanos/2019/00_jan/html/1.77399_258.html", "HTML")</f>
        <v/>
      </c>
      <c r="L1776">
        <f>HYPERLINK("https://raw.githubusercontent.com/marcosmapl/dataset_imigrantes/main/noticias_filtered/a_critica/venezuelanos/2019/00_jan/txt/1.77399_258.txt", "TXT")</f>
        <v/>
      </c>
    </row>
    <row r="1777">
      <c r="A1777" s="1" t="n">
        <v>1775</v>
      </c>
      <c r="B1777" t="n">
        <v>2019</v>
      </c>
      <c r="C1777" s="2" t="n">
        <v>43481.67295138889</v>
      </c>
      <c r="D1777" t="inlineStr">
        <is>
          <t>A CRITICA</t>
        </is>
      </c>
      <c r="E1777" t="inlineStr">
        <is>
          <t>VENEZUELANOS</t>
        </is>
      </c>
      <c r="F1777" t="inlineStr"/>
      <c r="G1777" t="inlineStr">
        <is>
          <t>AGÊNCIA BRASIL*</t>
        </is>
      </c>
      <c r="H1777" t="inlineStr">
        <is>
          <t>EM VISITA AO BRASIL, MACRI DIZ QUE MADURO É DITADOR E QUE ELEIÇÃO NA VENEZUELA FOI FICTÍCIA</t>
        </is>
      </c>
      <c r="I1777" t="inlineStr">
        <is>
          <t>ELE DISSE QUE OS GOVERNOS BRASILEIRO E ARGENTINO COMPARTILHAM PREOCUPAÇÃO COM A SITUAÇÃO DOS VENEZUELANOS</t>
        </is>
      </c>
      <c r="J1777">
        <f>HYPERLINK("https://www.acritica.com/em-visita-ao-brasil-macri-diz-que-maduro-e-ditador-e-que-eleic-o-na-venezuela-foi-ficticia-1.77378", "URL")</f>
        <v/>
      </c>
      <c r="K1777">
        <f>HYPERLINK("https://raw.githubusercontent.com/marcosmapl/dataset_imigrantes/main/noticias_filtered/a_critica/venezuelanos/2019/00_jan/html/1.77378_1127.html", "HTML")</f>
        <v/>
      </c>
      <c r="L1777">
        <f>HYPERLINK("https://raw.githubusercontent.com/marcosmapl/dataset_imigrantes/main/noticias_filtered/a_critica/venezuelanos/2019/00_jan/txt/1.77378_1127.txt", "TXT")</f>
        <v/>
      </c>
    </row>
    <row r="1778">
      <c r="A1778" s="1" t="n">
        <v>1776</v>
      </c>
      <c r="B1778" t="n">
        <v>2019</v>
      </c>
      <c r="C1778" s="2" t="n">
        <v>43480.93614586806</v>
      </c>
      <c r="D1778" t="inlineStr">
        <is>
          <t>G1</t>
        </is>
      </c>
      <c r="E1778" t="inlineStr">
        <is>
          <t>VENEZUELANOS</t>
        </is>
      </c>
      <c r="F1778" t="inlineStr">
        <is>
          <t>MUNDO</t>
        </is>
      </c>
      <c r="G1778" t="inlineStr">
        <is>
          <t>G1</t>
        </is>
      </c>
      <c r="H1778" t="inlineStr">
        <is>
          <t>VICE DOS EUA TELEFONA PARA LÍDER DA OPOSIÇÃO VENEZUELANA JUAN GUAIDÓ</t>
        </is>
      </c>
      <c r="I1778" t="inlineStr">
        <is>
          <t>OBJETIVO DE MIKE PENCE FOI EXPRESSAR APOIO AO 'ÚNICO ÓRGÃO DEMOCRÁTICO LEGÍTIMO' NA VENEZUELA, SEGUNDO FUNCIONÁRIO DA CASA BRANCA. GUAIDÓ É PRESIDENTE DA ASSEMBLEIA NACIONAL, QUE DECLAROU MADURO 'USURPADOR' DO CARGO DE PRESIDENTE.</t>
        </is>
      </c>
      <c r="J1778">
        <f>HYPERLINK("https://g1.globo.com/mundo/noticia/2019/01/15/vice-dos-eua-telefona-para-lider-da-oposicao-venezuelana-juan-guaido.ghtml", "URL")</f>
        <v/>
      </c>
      <c r="K1778">
        <f>HYPERLINK("https://raw.githubusercontent.com/marcosmapl/dataset_imigrantes/main/noticias_filtered/g1/venezuelanos/2019/00_jan/html/g1_67e85b84-230e-11ed-b24f-6dbe51e79fca_2736.html", "HTML")</f>
        <v/>
      </c>
      <c r="L1778">
        <f>HYPERLINK("https://raw.githubusercontent.com/marcosmapl/dataset_imigrantes/main/noticias_filtered/g1/venezuelanos/2019/00_jan/txt/g1_67e85b84-230e-11ed-b24f-6dbe51e79fca_2736.txt", "TXT")</f>
        <v/>
      </c>
    </row>
    <row r="1779">
      <c r="A1779" s="1" t="n">
        <v>1777</v>
      </c>
      <c r="B1779" t="n">
        <v>2019</v>
      </c>
      <c r="C1779" s="2" t="n">
        <v>43480.74502314815</v>
      </c>
      <c r="D1779" t="inlineStr">
        <is>
          <t>A CRITICA</t>
        </is>
      </c>
      <c r="E1779" t="inlineStr">
        <is>
          <t>VENEZUELANOS</t>
        </is>
      </c>
      <c r="F1779" t="inlineStr">
        <is>
          <t>MANAUS</t>
        </is>
      </c>
      <c r="G1779" t="inlineStr">
        <is>
          <t>ACRÍTICA.COM</t>
        </is>
      </c>
      <c r="H1779" t="inlineStr">
        <is>
          <t>VENEZUELANOS TERÃO NOVO ABRIGO NA ZONA LESTE E SERÃO CADASTRADOS NO SINE MANAUS</t>
        </is>
      </c>
      <c r="I1779" t="inlineStr">
        <is>
          <t>O LOCAL, ANEXO DA ESCOLA ESTADUAL PADRE LUIZ RUAS, NO BAIRRO ZUMBI DOS PALMARES, SERÁ REFORMADO E ENTREGUE EM 30 DIAS. CERCA DE 230 VENEZUELANOS VIVEM PRÓXIMO À RODOVIÁRIA</t>
        </is>
      </c>
      <c r="J1779">
        <f>HYPERLINK("https://www.acritica.com/manaus/venezuelanos-ter-o-novo-abrigo-na-zona-leste-e-ser-o-cadastrados-no-sine-manaus-1.77547", "URL")</f>
        <v/>
      </c>
      <c r="K1779">
        <f>HYPERLINK("https://raw.githubusercontent.com/marcosmapl/dataset_imigrantes/main/noticias_filtered/a_critica/venezuelanos/2019/00_jan/html/1.77547_627.html", "HTML")</f>
        <v/>
      </c>
      <c r="L1779">
        <f>HYPERLINK("https://raw.githubusercontent.com/marcosmapl/dataset_imigrantes/main/noticias_filtered/a_critica/venezuelanos/2019/00_jan/txt/1.77547_627.txt", "TXT")</f>
        <v/>
      </c>
    </row>
    <row r="1780">
      <c r="A1780" s="1" t="n">
        <v>1778</v>
      </c>
      <c r="B1780" t="n">
        <v>2019</v>
      </c>
      <c r="C1780" s="2" t="n">
        <v>43479.44068287037</v>
      </c>
      <c r="D1780" t="inlineStr">
        <is>
          <t>A CRITICA</t>
        </is>
      </c>
      <c r="E1780" t="inlineStr">
        <is>
          <t>VENEZUELANOS</t>
        </is>
      </c>
      <c r="F1780" t="inlineStr"/>
      <c r="G1780" t="inlineStr"/>
      <c r="H1780" t="inlineStr">
        <is>
          <t>VICE APOSTA EM ‘FATOR SURPRESA’</t>
        </is>
      </c>
      <c r="I1780" t="inlineStr"/>
      <c r="J1780">
        <f>HYPERLINK("https://www.acritica.com/vice-aposta-em-fator-surpresa-1.224046", "URL")</f>
        <v/>
      </c>
      <c r="K1780">
        <f>HYPERLINK("https://raw.githubusercontent.com/marcosmapl/dataset_imigrantes/main/noticias_filtered/a_critica/venezuelanos/2019/00_jan/html/1.224046_184.html", "HTML")</f>
        <v/>
      </c>
      <c r="L1780">
        <f>HYPERLINK("https://raw.githubusercontent.com/marcosmapl/dataset_imigrantes/main/noticias_filtered/a_critica/venezuelanos/2019/00_jan/txt/1.224046_184.txt", "TXT")</f>
        <v/>
      </c>
    </row>
    <row r="1781">
      <c r="A1781" s="1" t="n">
        <v>1779</v>
      </c>
      <c r="B1781" t="n">
        <v>2019</v>
      </c>
      <c r="C1781" s="2" t="n">
        <v>43478.73373842592</v>
      </c>
      <c r="D1781" t="inlineStr">
        <is>
          <t>A CRITICA</t>
        </is>
      </c>
      <c r="E1781" t="inlineStr">
        <is>
          <t>VENEZUELANOS</t>
        </is>
      </c>
      <c r="F1781" t="inlineStr">
        <is>
          <t>MANAUS</t>
        </is>
      </c>
      <c r="G1781" t="inlineStr">
        <is>
          <t>LUIZ G. MELO</t>
        </is>
      </c>
      <c r="H1781" t="inlineStr">
        <is>
          <t>PRESTES A COMPLETAR UM MÊS, PARADEIRO DE ADOLESCENTE É UM MISTÉRIO</t>
        </is>
      </c>
      <c r="I1781" t="inlineStr">
        <is>
          <t>DEPCA LOCALIZOU A VENEZUELANA QUE ATENDEU O TELEFONE DE RAYNER VINICIUS DA SILVA GONÇALVES, DE 15 ANOS, MAS ELE AINDA NÃO FOI ACHADO</t>
        </is>
      </c>
      <c r="J1781">
        <f>HYPERLINK("https://www.acritica.com/manaus/prestes-a-completar-um-mes-paradeiro-de-adolescente-e-um-misterio-1.77636", "URL")</f>
        <v/>
      </c>
      <c r="K1781">
        <f>HYPERLINK("https://raw.githubusercontent.com/marcosmapl/dataset_imigrantes/main/noticias_filtered/a_critica/venezuelanos/2019/00_jan/html/1.77636_362.html", "HTML")</f>
        <v/>
      </c>
      <c r="L1781">
        <f>HYPERLINK("https://raw.githubusercontent.com/marcosmapl/dataset_imigrantes/main/noticias_filtered/a_critica/venezuelanos/2019/00_jan/txt/1.77636_362.txt", "TXT")</f>
        <v/>
      </c>
    </row>
    <row r="1782">
      <c r="A1782" s="1" t="n">
        <v>1780</v>
      </c>
      <c r="B1782" t="n">
        <v>2019</v>
      </c>
      <c r="C1782" s="2" t="n">
        <v>43476.76928596065</v>
      </c>
      <c r="D1782" t="inlineStr">
        <is>
          <t>G1</t>
        </is>
      </c>
      <c r="E1782" t="inlineStr">
        <is>
          <t>VENEZUELANOS</t>
        </is>
      </c>
      <c r="F1782" t="inlineStr">
        <is>
          <t>MUNDO</t>
        </is>
      </c>
      <c r="G1782" t="inlineStr">
        <is>
          <t>G1</t>
        </is>
      </c>
      <c r="H1782" t="inlineStr">
        <is>
          <t>PRESIDENTE DO CONGRESSO VENEZUELANO PEDE APOIO PARA ASSUMIR EXECUTIVO E CONVOCAR ELEIÇÃO PARA SUBSTITUIR MADURO</t>
        </is>
      </c>
      <c r="I1782" t="inlineStr">
        <is>
          <t>LÍDER OPOSICIONISTA CONVOCOU MOBILIZAÇÃO PARA 23 DE JANEIRO. SECRETÁRIO-GERAL DA OEA PRONTAMENTE O CHAMOU DE 'PRESIDENTE INTERINO' NO TWITTER. 'BRINCADEIRA E ESCÁRNIO', MINIMIZOU MADURO.</t>
        </is>
      </c>
      <c r="J1782">
        <f>HYPERLINK("https://g1.globo.com/mundo/noticia/2019/01/11/presidente-do-congresso-venezuelano-pede-apoio-para-assumir-executivo-e-convocar-eleicoes.ghtml", "URL")</f>
        <v/>
      </c>
      <c r="K1782">
        <f>HYPERLINK("https://raw.githubusercontent.com/marcosmapl/dataset_imigrantes/main/noticias_filtered/g1/venezuelanos/2019/00_jan/html/g1_d92a886e-2325-11ed-b24f-6dbe51e79fca_3937.html", "HTML")</f>
        <v/>
      </c>
      <c r="L1782">
        <f>HYPERLINK("https://raw.githubusercontent.com/marcosmapl/dataset_imigrantes/main/noticias_filtered/g1/venezuelanos/2019/00_jan/txt/g1_d92a886e-2325-11ed-b24f-6dbe51e79fca_3937.txt", "TXT")</f>
        <v/>
      </c>
    </row>
    <row r="1783">
      <c r="A1783" s="1" t="n">
        <v>1781</v>
      </c>
      <c r="B1783" t="n">
        <v>2019</v>
      </c>
      <c r="C1783" s="2" t="n">
        <v>43475.73028935185</v>
      </c>
      <c r="D1783" t="inlineStr">
        <is>
          <t>A CRITICA</t>
        </is>
      </c>
      <c r="E1783" t="inlineStr">
        <is>
          <t>VENEZUELANOS</t>
        </is>
      </c>
      <c r="F1783" t="inlineStr"/>
      <c r="G1783" t="inlineStr">
        <is>
          <t>AGÊNCIA BRASIL*</t>
        </is>
      </c>
      <c r="H1783" t="inlineStr">
        <is>
          <t>MADURO ASSUME NOVO MANDATO NA VENEZUELA PROMETENDO COMBATER A CORRUPÇÃO</t>
        </is>
      </c>
      <c r="I1783" t="inlineStr">
        <is>
          <t>O MANDATO SE ESTENDERÁ ATÉ 2025. O JURAMENTO À CONSTITUIÇÃO FOI FEITO NA SUPREMA CORTE PORQUE NICOLÁS MADURO NÃO RECONHECE A ASSEMBLEIA NACIONAL, DOMINADA PELA OPOSIÇÃO</t>
        </is>
      </c>
      <c r="J1783">
        <f>HYPERLINK("https://www.acritica.com/maduro-assume-novo-mandato-na-venezuela-prometendo-combater-a-corrupc-o-1.77982", "URL")</f>
        <v/>
      </c>
      <c r="K1783">
        <f>HYPERLINK("https://raw.githubusercontent.com/marcosmapl/dataset_imigrantes/main/noticias_filtered/a_critica/venezuelanos/2019/00_jan/html/1.77982_829.html", "HTML")</f>
        <v/>
      </c>
      <c r="L1783">
        <f>HYPERLINK("https://raw.githubusercontent.com/marcosmapl/dataset_imigrantes/main/noticias_filtered/a_critica/venezuelanos/2019/00_jan/txt/1.77982_829.txt", "TXT")</f>
        <v/>
      </c>
    </row>
    <row r="1784">
      <c r="A1784" s="1" t="n">
        <v>1782</v>
      </c>
      <c r="B1784" t="n">
        <v>2019</v>
      </c>
      <c r="C1784" s="2" t="n">
        <v>43475.45777393519</v>
      </c>
      <c r="D1784" t="inlineStr">
        <is>
          <t>G1</t>
        </is>
      </c>
      <c r="E1784" t="inlineStr">
        <is>
          <t>HAITIANOS</t>
        </is>
      </c>
      <c r="F1784" t="inlineStr">
        <is>
          <t>RIO GRANDE DO SUL</t>
        </is>
      </c>
      <c r="G1784" t="inlineStr">
        <is>
          <t>GREICI MATTOS, RBS TV DE CAXIAS DO SUL</t>
        </is>
      </c>
      <c r="H1784" t="inlineStr">
        <is>
          <t>HAITIANA QUE FEZ VAQUINHA PARA TRAZER FILHOS PARA O BRASIL REÚNE FAMÍLIA NO RS DEPOIS DE 5 ANOS</t>
        </is>
      </c>
      <c r="I1784" t="inlineStr">
        <is>
          <t>MONETTE ESPERANCE MORA EM CAXIAS DO SUL, NA SERRA, DESDE 2013. CRIANÇAS FICARAM COM A AVÓ NO HAITI. PARA QUE A FAMÍLIA FICASSE JUNTA NOVAMENTE, HAITIANA PRECISOU FAZER UMA VAQUINHA NA INTERNET PARA ARRECADAR DINHEIRO PARA A VIAGEM.</t>
        </is>
      </c>
      <c r="J1784">
        <f>HYPERLINK("https://g1.globo.com/rs/rio-grande-do-sul/noticia/2019/01/10/haitiana-que-fez-vaquinha-para-trazer-filhos-para-o-brasil-reune-familia-no-rs-depois-de-5-anos.ghtml", "URL")</f>
        <v/>
      </c>
      <c r="K1784">
        <f>HYPERLINK("https://raw.githubusercontent.com/marcosmapl/dataset_imigrantes/main/noticias_filtered/g1/haitianos/2019/00_jan/html/g1_1c1c9f70-230a-11ed-b24f-6dbe51e79fca_2485.html", "HTML")</f>
        <v/>
      </c>
      <c r="L1784">
        <f>HYPERLINK("https://raw.githubusercontent.com/marcosmapl/dataset_imigrantes/main/noticias_filtered/g1/haitianos/2019/00_jan/txt/g1_1c1c9f70-230a-11ed-b24f-6dbe51e79fca_2485.txt", "TXT")</f>
        <v/>
      </c>
    </row>
    <row r="1785">
      <c r="A1785" s="1" t="n">
        <v>1783</v>
      </c>
      <c r="B1785" t="n">
        <v>2019</v>
      </c>
      <c r="C1785" s="2" t="n">
        <v>43475.33398087963</v>
      </c>
      <c r="D1785" t="inlineStr">
        <is>
          <t>G1</t>
        </is>
      </c>
      <c r="E1785" t="inlineStr">
        <is>
          <t>HAITIANOS</t>
        </is>
      </c>
      <c r="F1785" t="inlineStr">
        <is>
          <t>RIO GRANDE DO SUL</t>
        </is>
      </c>
      <c r="G1785" t="inlineStr">
        <is>
          <t>JOYCE HEURICH, G1 RS</t>
        </is>
      </c>
      <c r="H1785" t="inlineStr">
        <is>
          <t>BEBÊ DE CASAL HAITIANO QUE NASCEU EM CALÇADA DE PORTO ALEGRE É PRESENTEADO COM ENSAIO DE FOTOS</t>
        </is>
      </c>
      <c r="I1785" t="inlineStr">
        <is>
          <t>FOTÓGRAFA QUE COSTUMA CLICAR RECÉM-NASCIDOS OFERECEU FOTOLIVRO APÓS FICAR SABENDO DA HISTÓRIA. IMIGRANTE CHEGOU A CAMINHAR POR 40 MINUTOS EM DIREÇÃO A UM HOSPITAL, MAS NÃO CHEGOU A TEMPO E DEU À LUZ EM VIA PÚBLICA.</t>
        </is>
      </c>
      <c r="J1785">
        <f>HYPERLINK("https://g1.globo.com/rs/rio-grande-do-sul/noticia/2019/01/10/bebe-de-casal-haitiano-que-nasceu-em-calcada-de-porto-alegre-e-presenteado-com-ensaio-de-fotos.ghtml", "URL")</f>
        <v/>
      </c>
      <c r="K1785">
        <f>HYPERLINK("https://raw.githubusercontent.com/marcosmapl/dataset_imigrantes/main/noticias_filtered/g1/haitianos/2019/00_jan/html/g1_c1473394-22fa-11ed-b24f-6dbe51e79fca_2238.html", "HTML")</f>
        <v/>
      </c>
      <c r="L1785">
        <f>HYPERLINK("https://raw.githubusercontent.com/marcosmapl/dataset_imigrantes/main/noticias_filtered/g1/haitianos/2019/00_jan/txt/g1_c1473394-22fa-11ed-b24f-6dbe51e79fca_2238.txt", "TXT")</f>
        <v/>
      </c>
    </row>
    <row r="1786">
      <c r="A1786" s="1" t="n">
        <v>1784</v>
      </c>
      <c r="B1786" t="n">
        <v>2019</v>
      </c>
      <c r="C1786" s="2" t="n">
        <v>43475.12708333333</v>
      </c>
      <c r="D1786" t="inlineStr">
        <is>
          <t>A CRITICA</t>
        </is>
      </c>
      <c r="E1786" t="inlineStr">
        <is>
          <t>VENEZUELANOS</t>
        </is>
      </c>
      <c r="F1786" t="inlineStr">
        <is>
          <t>MANAUS</t>
        </is>
      </c>
      <c r="G1786" t="inlineStr">
        <is>
          <t>LUIZ G. MELO</t>
        </is>
      </c>
      <c r="H1786" t="inlineStr">
        <is>
          <t>USUÁRIOS DO PORTO DE MANAUS SOFREM COM ESTRUTURA PRECÁRIA DE ESCADARIA</t>
        </is>
      </c>
      <c r="I1786" t="inlineStr">
        <is>
          <t>DAS DUAS ESCADAS QUE DÃO ACESSO À BALSA AMARELA, APENAS UMA É UTILIZADA, MESMO COM A ESTRUTURA PRECÁRIA. A OUTRA, COM UMA PARTE SEM DEGRAUS, E COMPLETAMENTE DETERIORADA, ESTÁ INUTILIZADA</t>
        </is>
      </c>
      <c r="J1786">
        <f>HYPERLINK("https://www.acritica.com/manaus/usuarios-do-porto-de-manaus-sofrem-com-estrutura-precaria-de-escadaria-1.78005", "URL")</f>
        <v/>
      </c>
      <c r="K1786">
        <f>HYPERLINK("https://raw.githubusercontent.com/marcosmapl/dataset_imigrantes/main/noticias_filtered/a_critica/venezuelanos/2019/00_jan/html/1.78005_714.html", "HTML")</f>
        <v/>
      </c>
      <c r="L1786">
        <f>HYPERLINK("https://raw.githubusercontent.com/marcosmapl/dataset_imigrantes/main/noticias_filtered/a_critica/venezuelanos/2019/00_jan/txt/1.78005_714.txt", "TXT")</f>
        <v/>
      </c>
    </row>
    <row r="1787">
      <c r="A1787" s="1" t="n">
        <v>1785</v>
      </c>
      <c r="B1787" t="n">
        <v>2019</v>
      </c>
      <c r="C1787" s="2" t="n">
        <v>43474.9136249537</v>
      </c>
      <c r="D1787" t="inlineStr">
        <is>
          <t>G1</t>
        </is>
      </c>
      <c r="E1787" t="inlineStr">
        <is>
          <t>VENEZUELANOS</t>
        </is>
      </c>
      <c r="F1787" t="inlineStr">
        <is>
          <t>SERGIPE</t>
        </is>
      </c>
      <c r="G1787" t="inlineStr">
        <is>
          <t>G1 SE</t>
        </is>
      </c>
      <c r="H1787" t="inlineStr">
        <is>
          <t>GRUPO DE VENEZUELANOS RECEBE ACOLHIMENTO EM SERGIPE</t>
        </is>
      </c>
      <c r="I1787" t="inlineStr">
        <is>
          <t>FAMÍLIAS CHEGARAM AO ESTADO NESTA QUARTA-FEIRA (9).</t>
        </is>
      </c>
      <c r="J1787">
        <f>HYPERLINK("https://g1.globo.com/se/sergipe/noticia/2019/01/09/grupo-de-venezuelanos-recebe-acolhimento-em-sergipe.ghtml", "URL")</f>
        <v/>
      </c>
      <c r="K1787">
        <f>HYPERLINK("https://raw.githubusercontent.com/marcosmapl/dataset_imigrantes/main/noticias_filtered/g1/venezuelanos/2019/00_jan/html/g1_3ec20ada-2308-11ed-b24f-6dbe51e79fca_2375.html", "HTML")</f>
        <v/>
      </c>
      <c r="L1787">
        <f>HYPERLINK("https://raw.githubusercontent.com/marcosmapl/dataset_imigrantes/main/noticias_filtered/g1/venezuelanos/2019/00_jan/txt/g1_3ec20ada-2308-11ed-b24f-6dbe51e79fca_2375.txt", "TXT")</f>
        <v/>
      </c>
    </row>
    <row r="1788">
      <c r="A1788" s="1" t="n">
        <v>1786</v>
      </c>
      <c r="B1788" t="n">
        <v>2019</v>
      </c>
      <c r="C1788" s="2" t="n">
        <v>43473.84097222222</v>
      </c>
      <c r="D1788" t="inlineStr">
        <is>
          <t>A CRITICA</t>
        </is>
      </c>
      <c r="E1788" t="inlineStr">
        <is>
          <t>AMBOS</t>
        </is>
      </c>
      <c r="F1788" t="inlineStr">
        <is>
          <t>MANAUS</t>
        </is>
      </c>
      <c r="G1788" t="inlineStr">
        <is>
          <t>KARLA MENDES E VITOR GAVIRATI</t>
        </is>
      </c>
      <c r="H1788" t="inlineStr">
        <is>
          <t>ÁREA OCUPADA POR INDÍGENAS NO NOVA CIDADE É SÍTIO ARQUEOLÓGICO, AFIRMA MPF</t>
        </is>
      </c>
      <c r="I1788" t="inlineStr">
        <is>
          <t>GRUPO PROTESTOU EM FRENTE À SEDE DO GOVERNO DO ESTADO CONTRA REINTEGRAÇÃO DE POSSE NESTA TERÇA-FEIRA (8). MINISTÉRIO PÚBLICO DIZ QUE OCUPAÇÃO CAUSA DANOS AO ESPAÇO</t>
        </is>
      </c>
      <c r="J1788">
        <f>HYPERLINK("https://www.acritica.com/manaus/area-ocupada-por-indigenas-no-nova-cidade-e-sitio-arqueologico-afirma-mpf-1.78123", "URL")</f>
        <v/>
      </c>
      <c r="K1788">
        <f>HYPERLINK("https://raw.githubusercontent.com/marcosmapl/dataset_imigrantes/main/noticias_filtered/a_critica/ambos/2019/00_jan/html/1.78123_580.html", "HTML")</f>
        <v/>
      </c>
      <c r="L1788">
        <f>HYPERLINK("https://raw.githubusercontent.com/marcosmapl/dataset_imigrantes/main/noticias_filtered/a_critica/ambos/2019/00_jan/txt/1.78123_580.txt", "TXT")</f>
        <v/>
      </c>
    </row>
    <row r="1789">
      <c r="A1789" s="1" t="n">
        <v>1787</v>
      </c>
      <c r="B1789" t="n">
        <v>2019</v>
      </c>
      <c r="C1789" s="2" t="n">
        <v>43473.62948519676</v>
      </c>
      <c r="D1789" t="inlineStr">
        <is>
          <t>G1</t>
        </is>
      </c>
      <c r="E1789" t="inlineStr">
        <is>
          <t>VENEZUELANOS</t>
        </is>
      </c>
      <c r="F1789" t="inlineStr">
        <is>
          <t>MUNDO</t>
        </is>
      </c>
      <c r="G1789" t="inlineStr">
        <is>
          <t>G1</t>
        </is>
      </c>
      <c r="H1789" t="inlineStr">
        <is>
          <t>EUA ANUNCIAM NOVAS SANÇÕES CONTRA VENEZUELANOS</t>
        </is>
      </c>
      <c r="I1789" t="inlineStr">
        <is>
          <t>REDE DE TV GLOBOVISIÓN ESTÁ ENTRE AS 23 ORGANIZAÇÕES SANCIONADAS. SETE INDIVÍDUOS TAMBÉM FORAM ALVO.</t>
        </is>
      </c>
      <c r="J1789">
        <f>HYPERLINK("https://g1.globo.com/mundo/noticia/2019/01/08/eua-anunciam-novas-sancoes-contra-venezuelanos.ghtml", "URL")</f>
        <v/>
      </c>
      <c r="K1789">
        <f>HYPERLINK("https://raw.githubusercontent.com/marcosmapl/dataset_imigrantes/main/noticias_filtered/g1/venezuelanos/2019/00_jan/html/g1_3c84f7a8-2319-11ed-b24f-6dbe51e79fca_3304.html", "HTML")</f>
        <v/>
      </c>
      <c r="L1789">
        <f>HYPERLINK("https://raw.githubusercontent.com/marcosmapl/dataset_imigrantes/main/noticias_filtered/g1/venezuelanos/2019/00_jan/txt/g1_3c84f7a8-2319-11ed-b24f-6dbe51e79fca_3304.txt", "TXT")</f>
        <v/>
      </c>
    </row>
    <row r="1790">
      <c r="A1790" s="1" t="n">
        <v>1788</v>
      </c>
      <c r="B1790" t="n">
        <v>2019</v>
      </c>
      <c r="C1790" s="2" t="n">
        <v>43473.59236111111</v>
      </c>
      <c r="D1790" t="inlineStr">
        <is>
          <t>A CRITICA</t>
        </is>
      </c>
      <c r="E1790" t="inlineStr">
        <is>
          <t>AMBOS</t>
        </is>
      </c>
      <c r="F1790" t="inlineStr">
        <is>
          <t>MANAUS</t>
        </is>
      </c>
      <c r="G1790" t="inlineStr">
        <is>
          <t>KARLA MENDES</t>
        </is>
      </c>
      <c r="H1790" t="inlineStr">
        <is>
          <t>INDÍGENAS FAZEM PROTESTO CONTRA REINTEGRAÇÃO DE POSSE EM SÍTIO ARQUEOLÓGICO</t>
        </is>
      </c>
      <c r="I1790" t="inlineStr">
        <is>
          <t>ELES PROTESTARAM EM FRENTE À SEDE DO GOVERNO CONTRA UMA NOTIFICAÇÃO DO MINISTÉRIO PÚBLICO FEDERAL QUE, SEGUNDO ELES, DETERMINA A REINTEGRAÇÃO DE POSSE DE UM TERRENO CHAMADO DE “CEMITÉRIO INDÍGENA”</t>
        </is>
      </c>
      <c r="J1790">
        <f>HYPERLINK("https://www.acritica.com/manaus/indigenas-fazem-protesto-contra-reintegrac-o-de-posse-em-sitio-arqueologico-1.79094", "URL")</f>
        <v/>
      </c>
      <c r="K1790">
        <f>HYPERLINK("https://raw.githubusercontent.com/marcosmapl/dataset_imigrantes/main/noticias_filtered/a_critica/ambos/2019/00_jan/html/1.79094_124.html", "HTML")</f>
        <v/>
      </c>
      <c r="L1790">
        <f>HYPERLINK("https://raw.githubusercontent.com/marcosmapl/dataset_imigrantes/main/noticias_filtered/a_critica/ambos/2019/00_jan/txt/1.79094_124.txt", "TXT")</f>
        <v/>
      </c>
    </row>
    <row r="1791">
      <c r="A1791" s="1" t="n">
        <v>1789</v>
      </c>
      <c r="B1791" t="n">
        <v>2019</v>
      </c>
      <c r="C1791" s="2" t="n">
        <v>43472.77143422454</v>
      </c>
      <c r="D1791" t="inlineStr">
        <is>
          <t>G1</t>
        </is>
      </c>
      <c r="E1791" t="inlineStr">
        <is>
          <t>HAITIANOS</t>
        </is>
      </c>
      <c r="F1791" t="inlineStr">
        <is>
          <t>MATO GROSSO</t>
        </is>
      </c>
      <c r="G1791" t="inlineStr">
        <is>
          <t>BRUNO BORTOLOZO, TV CENTRO AMÉRICA</t>
        </is>
      </c>
      <c r="H1791" t="inlineStr">
        <is>
          <t>CAMINHONEIRO É DETIDO EM MT POR XINGAR HAITIANOS DE 'VAGABUNDOS' E 'VIADOS' E DIZER QUE SERÃO EXPULSOS DO PAÍS, DIZ POLÍCIA</t>
        </is>
      </c>
      <c r="I1791" t="inlineStr">
        <is>
          <t>TESTEMUNHAS DISSERAM À POLÍCIA QUE OS ESTRANGEIROS ESTAVAM PASSANDO PELA RUA QUANDO O HOMEM COMEÇOU A XINGÁ-LOS E DIZER QUE NÃO DEVERIAM ESTAR NO BRASIL.</t>
        </is>
      </c>
      <c r="J1791">
        <f>HYPERLINK("https://g1.globo.com/mt/mato-grosso/noticia/2019/01/07/caminhoneiro-e-detido-em-mt-por-xingar-haitianos-de-vagabundos-e-viados-e-dizer-que-serao-expulsos-do-pais-diz-policia.ghtml", "URL")</f>
        <v/>
      </c>
      <c r="K1791">
        <f>HYPERLINK("https://raw.githubusercontent.com/marcosmapl/dataset_imigrantes/main/noticias_filtered/g1/haitianos/2019/00_jan/html/g1_455cc3cc-22f3-11ed-b24f-6dbe51e79fca_1833.html", "HTML")</f>
        <v/>
      </c>
      <c r="L1791">
        <f>HYPERLINK("https://raw.githubusercontent.com/marcosmapl/dataset_imigrantes/main/noticias_filtered/g1/haitianos/2019/00_jan/txt/g1_455cc3cc-22f3-11ed-b24f-6dbe51e79fca_1833.txt", "TXT")</f>
        <v/>
      </c>
    </row>
    <row r="1792">
      <c r="A1792" s="1" t="n">
        <v>1790</v>
      </c>
      <c r="B1792" t="n">
        <v>2019</v>
      </c>
      <c r="C1792" s="2" t="n">
        <v>43471.54210648148</v>
      </c>
      <c r="D1792" t="inlineStr">
        <is>
          <t>A CRITICA</t>
        </is>
      </c>
      <c r="E1792" t="inlineStr">
        <is>
          <t>VENEZUELANOS</t>
        </is>
      </c>
      <c r="F1792" t="inlineStr"/>
      <c r="G1792" t="inlineStr">
        <is>
          <t>AGÊNCIA BRASIL</t>
        </is>
      </c>
      <c r="H1792" t="inlineStr">
        <is>
          <t>ASSEMBLEIA NACIONAL QUER EVITAR MAIS UM MANDATO DE MADURO NA VENEZUELA</t>
        </is>
      </c>
      <c r="I1792" t="inlineStr">
        <is>
          <t>A POSSE DE NICOLÁS MADURO ESTÁ MARCADA PARA A PRÓXIMA QUINTA-FEIRA (10). O NOVO PRESIDENTE DA ASSEMBLEIA NACIONAL VAI ATUAR PARA IMPEDIR</t>
        </is>
      </c>
      <c r="J1792">
        <f>HYPERLINK("https://www.acritica.com/assembleia-nacional-quer-evitar-mais-um-mandato-de-maduro-na-venezuela-1.79351", "URL")</f>
        <v/>
      </c>
      <c r="K1792">
        <f>HYPERLINK("https://raw.githubusercontent.com/marcosmapl/dataset_imigrantes/main/noticias_filtered/a_critica/venezuelanos/2019/00_jan/html/1.79351_202.html", "HTML")</f>
        <v/>
      </c>
      <c r="L1792">
        <f>HYPERLINK("https://raw.githubusercontent.com/marcosmapl/dataset_imigrantes/main/noticias_filtered/a_critica/venezuelanos/2019/00_jan/txt/1.79351_202.txt", "TXT")</f>
        <v/>
      </c>
    </row>
    <row r="1793">
      <c r="A1793" s="1" t="n">
        <v>1791</v>
      </c>
      <c r="B1793" t="n">
        <v>2019</v>
      </c>
      <c r="C1793" s="2" t="n">
        <v>43470.73350450231</v>
      </c>
      <c r="D1793" t="inlineStr">
        <is>
          <t>G1</t>
        </is>
      </c>
      <c r="E1793" t="inlineStr">
        <is>
          <t>VENEZUELANOS</t>
        </is>
      </c>
      <c r="F1793" t="inlineStr">
        <is>
          <t>MUNDO</t>
        </is>
      </c>
      <c r="G1793" t="inlineStr">
        <is>
          <t>FRANCE PRESSE</t>
        </is>
      </c>
      <c r="H1793" t="inlineStr">
        <is>
          <t>PARLAMENTO VENEZUELANO REJEITA LEGITIMIDADE DE 2º MANDATO DE MADURO</t>
        </is>
      </c>
      <c r="I1793" t="inlineStr">
        <is>
          <t>NOVO CHEFE DO PARLAMENTO TOMOU POSSE NESTE SÁBADO (5) E DISCURSOU CONTRA O PRESIDENTE REELEITO. NOVO MANDATO COMEÇA NA QUINTA-FEIRA (10).</t>
        </is>
      </c>
      <c r="J1793">
        <f>HYPERLINK("https://g1.globo.com/mundo/noticia/2019/01/05/parlamento-venezuelano-rejeita-legitimidade-de-2o-mandato-de-maduro.ghtml", "URL")</f>
        <v/>
      </c>
      <c r="K1793">
        <f>HYPERLINK("https://raw.githubusercontent.com/marcosmapl/dataset_imigrantes/main/noticias_filtered/g1/venezuelanos/2019/00_jan/html/g1_364abdba-231d-11ed-b24f-6dbe51e79fca_3489.html", "HTML")</f>
        <v/>
      </c>
      <c r="L1793">
        <f>HYPERLINK("https://raw.githubusercontent.com/marcosmapl/dataset_imigrantes/main/noticias_filtered/g1/venezuelanos/2019/00_jan/txt/g1_364abdba-231d-11ed-b24f-6dbe51e79fca_3489.txt", "TXT")</f>
        <v/>
      </c>
    </row>
    <row r="1794">
      <c r="A1794" s="1" t="n">
        <v>1792</v>
      </c>
      <c r="B1794" t="n">
        <v>2019</v>
      </c>
      <c r="C1794" s="2" t="n">
        <v>43470.70069444444</v>
      </c>
      <c r="D1794" t="inlineStr">
        <is>
          <t>A CRITICA</t>
        </is>
      </c>
      <c r="E1794" t="inlineStr">
        <is>
          <t>VENEZUELANOS</t>
        </is>
      </c>
      <c r="F1794" t="inlineStr">
        <is>
          <t>MANAUS</t>
        </is>
      </c>
      <c r="G1794" t="inlineStr">
        <is>
          <t>ACRÍTICA.COM</t>
        </is>
      </c>
      <c r="H1794" t="inlineStr">
        <is>
          <t>POLÍCIA DIVULGA RETRATO FALADO DE VENEZUELANA PARA ESCLARECER DESAPARECIMENTO DE JOVEM</t>
        </is>
      </c>
      <c r="I1794" t="inlineStr">
        <is>
          <t>O ADOLESCENTE RAYNER VINICIUS, DE 15 ANOS, SUMIU NO DIA 16 DE DEZEMBRO DE 2018 APÓS DIZER PARA A MÃE QUE IRIA FAZER CAMINHADA NA PONTA NEGRA</t>
        </is>
      </c>
      <c r="J1794">
        <f>HYPERLINK("https://www.acritica.com/manaus/policia-divulga-retrato-falado-de-venezuelana-para-esclarecer-desaparecimento-de-jovem-1.79412", "URL")</f>
        <v/>
      </c>
      <c r="K1794">
        <f>HYPERLINK("https://raw.githubusercontent.com/marcosmapl/dataset_imigrantes/main/noticias_filtered/a_critica/venezuelanos/2019/00_jan/html/1.79412_16.html", "HTML")</f>
        <v/>
      </c>
      <c r="L1794">
        <f>HYPERLINK("https://raw.githubusercontent.com/marcosmapl/dataset_imigrantes/main/noticias_filtered/a_critica/venezuelanos/2019/00_jan/txt/1.79412_16.txt", "TXT")</f>
        <v/>
      </c>
    </row>
    <row r="1795">
      <c r="A1795" s="1" t="n">
        <v>1793</v>
      </c>
      <c r="B1795" t="n">
        <v>2019</v>
      </c>
      <c r="C1795" s="2" t="n">
        <v>43470.52745092593</v>
      </c>
      <c r="D1795" t="inlineStr">
        <is>
          <t>G1</t>
        </is>
      </c>
      <c r="E1795" t="inlineStr">
        <is>
          <t>VENEZUELANOS</t>
        </is>
      </c>
      <c r="F1795" t="inlineStr">
        <is>
          <t>MUNDO</t>
        </is>
      </c>
      <c r="G1795" t="inlineStr">
        <is>
          <t>FRANCE PRESSE</t>
        </is>
      </c>
      <c r="H1795" t="inlineStr">
        <is>
          <t>PARLAMENTO VENEZUELANO VAI DECLARAR ILEGÍTIMO NOVO MANDATO DE MADURO</t>
        </is>
      </c>
      <c r="I1795" t="inlineStr">
        <is>
          <t>ASSEMBLEIA NACIONAL DEVE ROTULAR MADURO DE "USURPADOR". NA SEXTA-FEIRA, GRUPO DE LIMA DISSE QUE NÃO VAI RECONHECER GOVERNO VENEZUELANO.</t>
        </is>
      </c>
      <c r="J1795">
        <f>HYPERLINK("https://g1.globo.com/mundo/noticia/2019/01/05/parlamento-venezuelano-declarara-novo-mandato-de-maduro-ilegitimo.ghtml", "URL")</f>
        <v/>
      </c>
      <c r="K1795">
        <f>HYPERLINK("https://raw.githubusercontent.com/marcosmapl/dataset_imigrantes/main/noticias_filtered/g1/venezuelanos/2019/00_jan/html/g1_d0cfabb8-2307-11ed-b24f-6dbe51e79fca_2344.html", "HTML")</f>
        <v/>
      </c>
      <c r="L1795">
        <f>HYPERLINK("https://raw.githubusercontent.com/marcosmapl/dataset_imigrantes/main/noticias_filtered/g1/venezuelanos/2019/00_jan/txt/g1_d0cfabb8-2307-11ed-b24f-6dbe51e79fca_2344.txt", "TXT")</f>
        <v/>
      </c>
    </row>
    <row r="1796">
      <c r="A1796" s="1" t="n">
        <v>1794</v>
      </c>
      <c r="B1796" t="n">
        <v>2019</v>
      </c>
      <c r="C1796" s="2" t="n">
        <v>43469.85</v>
      </c>
      <c r="D1796" t="inlineStr">
        <is>
          <t>A CRITICA</t>
        </is>
      </c>
      <c r="E1796" t="inlineStr">
        <is>
          <t>VENEZUELANOS</t>
        </is>
      </c>
      <c r="F1796" t="inlineStr">
        <is>
          <t>MANAUS</t>
        </is>
      </c>
      <c r="G1796" t="inlineStr">
        <is>
          <t>KARLA MENDES</t>
        </is>
      </c>
      <c r="H1796" t="inlineStr">
        <is>
          <t>AMBIENTALISTA VENEZUELANO BUSCA REFÚGIO E TRATAMENTO CONTRA LEUCEMIA EM MANAUS</t>
        </is>
      </c>
      <c r="I1796" t="inlineStr">
        <is>
          <t>JOAN GUTIERREZ CONTA QUE CHEGOU A CAMINHAR CERCA DE 107 QUILÔMETROS DE PRESIDENTE FIGUEIREDO À CIDADE MANAUS EM BUSCA DE AUXÍLIO</t>
        </is>
      </c>
      <c r="J1796">
        <f>HYPERLINK("https://www.acritica.com/manaus/ambientalista-venezuelano-busca-refugio-e-tratamento-contra-leucemia-em-manaus-1.79487", "URL")</f>
        <v/>
      </c>
      <c r="K1796">
        <f>HYPERLINK("https://raw.githubusercontent.com/marcosmapl/dataset_imigrantes/main/noticias_filtered/a_critica/venezuelanos/2019/00_jan/html/1.79487_115.html", "HTML")</f>
        <v/>
      </c>
      <c r="L1796">
        <f>HYPERLINK("https://raw.githubusercontent.com/marcosmapl/dataset_imigrantes/main/noticias_filtered/a_critica/venezuelanos/2019/00_jan/txt/1.79487_115.txt", "TXT")</f>
        <v/>
      </c>
    </row>
    <row r="1797">
      <c r="A1797" s="1" t="n">
        <v>1795</v>
      </c>
      <c r="B1797" t="n">
        <v>2019</v>
      </c>
      <c r="C1797" s="2" t="n">
        <v>43468.64097222222</v>
      </c>
      <c r="D1797" t="inlineStr">
        <is>
          <t>A CRITICA</t>
        </is>
      </c>
      <c r="E1797" t="inlineStr">
        <is>
          <t>VENEZUELANOS</t>
        </is>
      </c>
      <c r="F1797" t="inlineStr">
        <is>
          <t>POLICIA</t>
        </is>
      </c>
      <c r="G1797" t="inlineStr">
        <is>
          <t>FÁBIO OLIVEIRA</t>
        </is>
      </c>
      <c r="H1797" t="inlineStr">
        <is>
          <t>MENINA VENEZUELANA DE 10 ANOS É ESTUPRADA EM MANAUS; SUSPEITO É O PADRASTO DELA</t>
        </is>
      </c>
      <c r="I1797" t="inlineStr">
        <is>
          <t>SEGUNDO A POLÍCIA, A MÃE DA MENINA PRESENCIOU O CRIME E ACIONOU A PM. O SUSPEITO FUGIU E ESTÁ SENDO PROCURADO</t>
        </is>
      </c>
      <c r="J1797">
        <f>HYPERLINK("https://www.acritica.com/policia/menina-venezuelana-de-10-anos-e-estuprada-em-manaus-suspeito-e-o-padrasto-dela-1.78191", "URL")</f>
        <v/>
      </c>
      <c r="K1797">
        <f>HYPERLINK("https://raw.githubusercontent.com/marcosmapl/dataset_imigrantes/main/noticias_filtered/a_critica/venezuelanos/2019/00_jan/html/1.78191_265.html", "HTML")</f>
        <v/>
      </c>
      <c r="L1797">
        <f>HYPERLINK("https://raw.githubusercontent.com/marcosmapl/dataset_imigrantes/main/noticias_filtered/a_critica/venezuelanos/2019/00_jan/txt/1.78191_265.txt", "TXT")</f>
        <v/>
      </c>
    </row>
    <row r="1798">
      <c r="A1798" s="1" t="n">
        <v>1796</v>
      </c>
      <c r="B1798" t="n">
        <v>2019</v>
      </c>
      <c r="C1798" s="2" t="n">
        <v>43468.61135145833</v>
      </c>
      <c r="D1798" t="inlineStr">
        <is>
          <t>G1</t>
        </is>
      </c>
      <c r="E1798" t="inlineStr">
        <is>
          <t>VENEZUELANOS</t>
        </is>
      </c>
      <c r="F1798" t="inlineStr">
        <is>
          <t>AMAZONAS</t>
        </is>
      </c>
      <c r="G1798" t="inlineStr">
        <is>
          <t>PATRICK MARQUES, G1 AM</t>
        </is>
      </c>
      <c r="H1798" t="inlineStr">
        <is>
          <t>MÃE DENUNCIA EX-COMPANHEIRO POR ESTUPRAR FILHA VENEZUELANA DE 10 ANOS, EM MANAUS</t>
        </is>
      </c>
      <c r="I1798" t="inlineStr">
        <is>
          <t>DELEGACIA DE PROTEÇAO À CRIANÇA INVESTIGA BRASILEIRO QUE ESTÁ FORAGIDO. CASO OCORREU NO DIA 1º DESTE ANO.</t>
        </is>
      </c>
      <c r="J1798">
        <f>HYPERLINK("https://g1.globo.com/am/amazonas/noticia/2019/01/03/mae-denuncia-ex-companheiro-por-estuprar-filha-venezuelana-de-10-anos-em-manaus.ghtml", "URL")</f>
        <v/>
      </c>
      <c r="K1798">
        <f>HYPERLINK("https://raw.githubusercontent.com/marcosmapl/dataset_imigrantes/main/noticias_filtered/g1/venezuelanos/2019/00_jan/html/g1_61dba0ec-231e-11ed-b24f-6dbe51e79fca_3558.html", "HTML")</f>
        <v/>
      </c>
      <c r="L1798">
        <f>HYPERLINK("https://raw.githubusercontent.com/marcosmapl/dataset_imigrantes/main/noticias_filtered/g1/venezuelanos/2019/00_jan/txt/g1_61dba0ec-231e-11ed-b24f-6dbe51e79fca_3558.txt", "TXT")</f>
        <v/>
      </c>
    </row>
    <row r="1799">
      <c r="A1799" s="1" t="n">
        <v>1797</v>
      </c>
      <c r="B1799" t="n">
        <v>2019</v>
      </c>
      <c r="C1799" s="2" t="n">
        <v>43468.60069444445</v>
      </c>
      <c r="D1799" t="inlineStr">
        <is>
          <t>PORTAL AMAZONIA</t>
        </is>
      </c>
      <c r="E1799" t="inlineStr">
        <is>
          <t>VENEZUELANOS</t>
        </is>
      </c>
      <c r="F1799" t="inlineStr">
        <is>
          <t>CIDADES</t>
        </is>
      </c>
      <c r="G1799" t="inlineStr">
        <is>
          <t>REDAÇÃO</t>
        </is>
      </c>
      <c r="H1799" t="inlineStr">
        <is>
          <t>CRISE ECONÔMICA: RORAIMA DECRETA ESTADO DE CALAMIDADE FINANCEIRA</t>
        </is>
      </c>
      <c r="I1799" t="inlineStr">
        <is>
          <t>O GOVERNADOR ANTONIO DENARIUM (PSL) DECRETOU ESTADO DE CALAMIDADE FINANCEIRA EM RORAIMA, POR CONTA DA CRISE ECONÔMICA QUE O ESTADO ENFRENTA. O DECRETO DE CALAMIDADE FOI DISPONIBILIZADO NESSA QUARTA (2), NO DIÁRIO OFICIAL, MAS DATA DE SEXTA-FEIRA (28)</t>
        </is>
      </c>
      <c r="J1799">
        <f>HYPERLINK("https://portalamazonia.com/noticias/cidades/crise-economica-roraima-decreta-estado-de-calamidade-financeira", "URL")</f>
        <v/>
      </c>
      <c r="K1799">
        <f>HYPERLINK("https://raw.githubusercontent.com/marcosmapl/dataset_imigrantes/main/noticias_filtered/portal_amazonia/venezuelanos/2019/00_jan/html/16667.16667_1494.html", "HTML")</f>
        <v/>
      </c>
      <c r="L1799">
        <f>HYPERLINK("https://raw.githubusercontent.com/marcosmapl/dataset_imigrantes/main/noticias_filtered/portal_amazonia/venezuelanos/2019/00_jan/txt/16667.16667_1494.txt", "TXT")</f>
        <v/>
      </c>
    </row>
    <row r="1800">
      <c r="A1800" s="1" t="n">
        <v>1798</v>
      </c>
      <c r="B1800" t="n">
        <v>2019</v>
      </c>
      <c r="C1800" s="2" t="n">
        <v>43466.92361111111</v>
      </c>
      <c r="D1800" t="inlineStr">
        <is>
          <t>A CRITICA</t>
        </is>
      </c>
      <c r="E1800" t="inlineStr">
        <is>
          <t>VENEZUELANOS</t>
        </is>
      </c>
      <c r="F1800" t="inlineStr">
        <is>
          <t>ESPORTES</t>
        </is>
      </c>
      <c r="G1800" t="inlineStr">
        <is>
          <t>VALTER CARDOSO</t>
        </is>
      </c>
      <c r="H1800" t="inlineStr">
        <is>
          <t>IRANDUBA DEVE INICIAR 2019 COM MAIS DOIS REFORÇOS INTERNACIONAIS</t>
        </is>
      </c>
      <c r="I1800" t="inlineStr">
        <is>
          <t>IRANDUBA ANUNCIOU A CONTRATAÇÃO DA MEIA COLOMBIANA YORELI RINCÓN NO ÚLTIMO DIA DE 2018 E DEVE APRESENTAR NOVOS REFORÇOS INTERNACIONAIS NOS PRÓXIMOS DIAS DE 2019.</t>
        </is>
      </c>
      <c r="J1800">
        <f>HYPERLINK("https://www.acritica.com/esportes/iranduba-deve-iniciar-2019-com-mais-dois-reforcos-internacionais-1.79821", "URL")</f>
        <v/>
      </c>
      <c r="K1800">
        <f>HYPERLINK("https://raw.githubusercontent.com/marcosmapl/dataset_imigrantes/main/noticias_filtered/a_critica/venezuelanos/2019/00_jan/html/1.79821_1034.html", "HTML")</f>
        <v/>
      </c>
      <c r="L1800">
        <f>HYPERLINK("https://raw.githubusercontent.com/marcosmapl/dataset_imigrantes/main/noticias_filtered/a_critica/venezuelanos/2019/00_jan/txt/1.79821_1034.txt", "TXT")</f>
        <v/>
      </c>
    </row>
    <row r="1801">
      <c r="A1801" s="1" t="n">
        <v>1799</v>
      </c>
      <c r="B1801" t="n">
        <v>2018</v>
      </c>
      <c r="C1801" s="2" t="n">
        <v>43465.77013888889</v>
      </c>
      <c r="D1801" t="inlineStr">
        <is>
          <t>A CRITICA</t>
        </is>
      </c>
      <c r="E1801" t="inlineStr">
        <is>
          <t>VENEZUELANOS</t>
        </is>
      </c>
      <c r="F1801" t="inlineStr">
        <is>
          <t>MANAUS</t>
        </is>
      </c>
      <c r="G1801" t="inlineStr">
        <is>
          <t>LÍVIA ANSELMO</t>
        </is>
      </c>
      <c r="H1801" t="inlineStr">
        <is>
          <t>VENEZUELANOS: SEMÁFOROS E PEDIDOS DE EMPREGO SÃO ESTRATÉGIAS DE SOBREVIVÊNCIA</t>
        </is>
      </c>
      <c r="I1801" t="inlineStr">
        <is>
          <t>PEGANDO CHUVA E SOL, REFUGIADOS DO PAÍS VIZINHO APELAM PARA A COMPAIXÃO EM BUSCA DE NOVAS OPORTUNIDADES E DE UMA ESPERANÇA DE VIDA DIFERENTE PARA 2019</t>
        </is>
      </c>
      <c r="J1801">
        <f>HYPERLINK("https://www.acritica.com/manaus/venezuelanos-semaforos-e-pedidos-de-emprego-s-o-estrategias-de-sobrevivencia-1.78274", "URL")</f>
        <v/>
      </c>
      <c r="K1801">
        <f>HYPERLINK("https://raw.githubusercontent.com/marcosmapl/dataset_imigrantes/main/noticias_filtered/a_critica/venezuelanos/2018/11_dez/html/1.78274_1384.html", "HTML")</f>
        <v/>
      </c>
      <c r="L1801">
        <f>HYPERLINK("https://raw.githubusercontent.com/marcosmapl/dataset_imigrantes/main/noticias_filtered/a_critica/venezuelanos/2018/11_dez/txt/1.78274_1384.txt", "TXT")</f>
        <v/>
      </c>
    </row>
    <row r="1802">
      <c r="A1802" s="1" t="n">
        <v>1800</v>
      </c>
      <c r="B1802" t="n">
        <v>2018</v>
      </c>
      <c r="C1802" s="2" t="n">
        <v>43462.67422453704</v>
      </c>
      <c r="D1802" t="inlineStr">
        <is>
          <t>A CRITICA</t>
        </is>
      </c>
      <c r="E1802" t="inlineStr">
        <is>
          <t>VENEZUELANOS</t>
        </is>
      </c>
      <c r="F1802" t="inlineStr"/>
      <c r="G1802" t="inlineStr">
        <is>
          <t>LETYCIA BOND (AGÊNCIA BRASIL)</t>
        </is>
      </c>
      <c r="H1802" t="inlineStr">
        <is>
          <t>BRASIL E ACNUR RENOVAM POR MAIS UM ANO ACORDO QUE GARANTE DIREITOS A VENEZUELANOS</t>
        </is>
      </c>
      <c r="I1802" t="inlineStr">
        <is>
          <t>DURANTE O PRÓXIMO SEMESTRE, PREFEITURAS DE CIDADES QUE ACOLHEM REFUGIADOS E IMIGRANTES VENEZUELANOS RECEBERÃO R$ 400 MENSAIS POR CADA PESSOA ASSISTIDA</t>
        </is>
      </c>
      <c r="J1802">
        <f>HYPERLINK("https://www.acritica.com/brasil-e-acnur-renovam-por-mais-um-ano-acordo-que-garante-direitos-a-venezuelanos-1.80185", "URL")</f>
        <v/>
      </c>
      <c r="K1802">
        <f>HYPERLINK("https://raw.githubusercontent.com/marcosmapl/dataset_imigrantes/main/noticias_filtered/a_critica/venezuelanos/2018/11_dez/html/1.80185_23.html", "HTML")</f>
        <v/>
      </c>
      <c r="L1802">
        <f>HYPERLINK("https://raw.githubusercontent.com/marcosmapl/dataset_imigrantes/main/noticias_filtered/a_critica/venezuelanos/2018/11_dez/txt/1.80185_23.txt", "TXT")</f>
        <v/>
      </c>
    </row>
    <row r="1803">
      <c r="A1803" s="1" t="n">
        <v>1801</v>
      </c>
      <c r="B1803" t="n">
        <v>2018</v>
      </c>
      <c r="C1803" s="2" t="n">
        <v>43461.4875</v>
      </c>
      <c r="D1803" t="inlineStr">
        <is>
          <t>A CRITICA</t>
        </is>
      </c>
      <c r="E1803" t="inlineStr">
        <is>
          <t>VENEZUELANOS</t>
        </is>
      </c>
      <c r="F1803" t="inlineStr"/>
      <c r="G1803" t="inlineStr">
        <is>
          <t>AGÊNCIA BRASIL</t>
        </is>
      </c>
      <c r="H1803" t="inlineStr">
        <is>
          <t>TERREMOTO DE MAGNITUDE 4,9 E PROFUNDIDADE DE 9,4 QUILÔMETROS ATINGE A VENEZUELA</t>
        </is>
      </c>
      <c r="I1803" t="inlineStr">
        <is>
          <t>NAS REDES SOCIAIS, HÁ VÁRIOS RELATOS SOBRE OS TREMORES EM TORNO DE CARACAS, A CAPITAL, E TAMBÉM NAS REGIÕES DE ARAGUA, CARABOBO, MIRANDA E VARGAS</t>
        </is>
      </c>
      <c r="J1803">
        <f>HYPERLINK("https://www.acritica.com/terremoto-de-magnitude-4-9-e-profundidade-de-9-4-quilometros-atinge-a-venezuela-1.80387", "URL")</f>
        <v/>
      </c>
      <c r="K1803">
        <f>HYPERLINK("https://raw.githubusercontent.com/marcosmapl/dataset_imigrantes/main/noticias_filtered/a_critica/venezuelanos/2018/11_dez/html/1.80387_381.html", "HTML")</f>
        <v/>
      </c>
      <c r="L1803">
        <f>HYPERLINK("https://raw.githubusercontent.com/marcosmapl/dataset_imigrantes/main/noticias_filtered/a_critica/venezuelanos/2018/11_dez/txt/1.80387_381.txt", "TXT")</f>
        <v/>
      </c>
    </row>
    <row r="1804">
      <c r="A1804" s="1" t="n">
        <v>1802</v>
      </c>
      <c r="B1804" t="n">
        <v>2018</v>
      </c>
      <c r="C1804" s="2" t="n">
        <v>43461.16875</v>
      </c>
      <c r="D1804" t="inlineStr">
        <is>
          <t>A CRITICA</t>
        </is>
      </c>
      <c r="E1804" t="inlineStr">
        <is>
          <t>VENEZUELANOS</t>
        </is>
      </c>
      <c r="F1804" t="inlineStr"/>
      <c r="G1804" t="inlineStr">
        <is>
          <t>CECÍLIA SIQUEIRA</t>
        </is>
      </c>
      <c r="H1804" t="inlineStr">
        <is>
          <t>MESMO COM SURTO CONTROLADO, VACINAÇÃO AINDA É SOLUÇÃO CONTRA SARAMPO NO AM</t>
        </is>
      </c>
      <c r="I1804" t="inlineStr">
        <is>
          <t>O BOLETIM EPIDEMIOLÓGICO DA FVS/AM INFORMA QUE, DE JANEIRO A DEZEMBRO DESTE ANO, DOS 10.262 CASOS CONFIRMADOS DA DOENÇA NO BRASIL, O ESTADO REGISTROU 9.779 MIL CASOS (95%)</t>
        </is>
      </c>
      <c r="J1804">
        <f>HYPERLINK("https://www.acritica.com/mesmo-com-surto-controlado-vacinac-o-ainda-e-soluc-o-contra-sarampo-no-am-1.80357", "URL")</f>
        <v/>
      </c>
      <c r="K1804">
        <f>HYPERLINK("https://raw.githubusercontent.com/marcosmapl/dataset_imigrantes/main/noticias_filtered/a_critica/venezuelanos/2018/11_dez/html/1.80357_158.html", "HTML")</f>
        <v/>
      </c>
      <c r="L1804">
        <f>HYPERLINK("https://raw.githubusercontent.com/marcosmapl/dataset_imigrantes/main/noticias_filtered/a_critica/venezuelanos/2018/11_dez/txt/1.80357_158.txt", "TXT")</f>
        <v/>
      </c>
    </row>
    <row r="1805">
      <c r="A1805" s="1" t="n">
        <v>1803</v>
      </c>
      <c r="B1805" t="n">
        <v>2018</v>
      </c>
      <c r="C1805" s="2" t="n">
        <v>43460.94192209491</v>
      </c>
      <c r="D1805" t="inlineStr">
        <is>
          <t>G1</t>
        </is>
      </c>
      <c r="E1805" t="inlineStr">
        <is>
          <t>HAITIANOS</t>
        </is>
      </c>
      <c r="F1805" t="inlineStr">
        <is>
          <t>SANTA CATARINA</t>
        </is>
      </c>
      <c r="G1805" t="inlineStr">
        <is>
          <t>NSC TV</t>
        </is>
      </c>
      <c r="H1805" t="inlineStr">
        <is>
          <t>CAMPANHA EM JOINVILLE ARRECADA DINHEIRO E AJUDA HAITIANO A TRAZER FAMÍLIA PARA O BRASIL</t>
        </is>
      </c>
      <c r="I1805" t="inlineStr">
        <is>
          <t>SOLIDARIEDADE AUXILIA DAVID CÉSAR A TER A FAMÍLIA POR PERTO DEPOIS DE OITO ANOS DE AFASTAMENTO POR CONTA DO TERREMOTO QUE DEVASTOU O HAITI</t>
        </is>
      </c>
      <c r="J1805">
        <f>HYPERLINK("https://g1.globo.com/sc/santa-catarina/noticia/2018/12/26/campanha-em-joinville-arrecada-dinheiro-e-ajuda-haitiano-a-trazer-familia-para-o-brasil.ghtml", "URL")</f>
        <v/>
      </c>
      <c r="K1805">
        <f>HYPERLINK("https://raw.githubusercontent.com/marcosmapl/dataset_imigrantes/main/noticias_filtered/g1/haitianos/2018/11_dez/html/g1_9f6f1b96-22f1-11ed-b24f-6dbe51e79fca_1758.html", "HTML")</f>
        <v/>
      </c>
      <c r="L1805">
        <f>HYPERLINK("https://raw.githubusercontent.com/marcosmapl/dataset_imigrantes/main/noticias_filtered/g1/haitianos/2018/11_dez/txt/g1_9f6f1b96-22f1-11ed-b24f-6dbe51e79fca_1758.txt", "TXT")</f>
        <v/>
      </c>
    </row>
    <row r="1806">
      <c r="A1806" s="1" t="n">
        <v>1804</v>
      </c>
      <c r="B1806" t="n">
        <v>2018</v>
      </c>
      <c r="C1806" s="2" t="n">
        <v>43460.68938755787</v>
      </c>
      <c r="D1806" t="inlineStr">
        <is>
          <t>G1</t>
        </is>
      </c>
      <c r="E1806" t="inlineStr">
        <is>
          <t>HAITIANOS</t>
        </is>
      </c>
      <c r="F1806" t="inlineStr">
        <is>
          <t>MATO GROSSO DO SUL</t>
        </is>
      </c>
      <c r="G1806" t="inlineStr">
        <is>
          <t>GABRIELA PRADO, TV MORENA</t>
        </is>
      </c>
      <c r="H1806" t="inlineStr">
        <is>
          <t>POR NOVA VIDA, HAITIANOS PASSAM NATAL ENTRE FILA DA IMIGRAÇÃO E RODOVIÁRIA DE MS: 'VOU TRABALHAR POR UM BOM FUTURO'</t>
        </is>
      </c>
      <c r="I1806" t="inlineStr">
        <is>
          <t>DEPOIS DE 6 DIAS DE VIAGEM ATÉ O BRASIL, GRUPO PASSOU O 25 DE DEZEMBRO EM CORUMBÁ PARA SEGUIR PARA OUTRAS CIDADES DO PAÍS.</t>
        </is>
      </c>
      <c r="J1806">
        <f>HYPERLINK("https://g1.globo.com/ms/mato-grosso-do-sul/noticia/2018/12/26/por-nova-vida-haitianos-passam-natal-entre-fila-da-imigracao-e-rodoviaria-de-ms-vou-trabalhar-por-um-bom-futuro.ghtml", "URL")</f>
        <v/>
      </c>
      <c r="K1806">
        <f>HYPERLINK("https://raw.githubusercontent.com/marcosmapl/dataset_imigrantes/main/noticias_filtered/g1/haitianos/2018/11_dez/html/g1_bca91dd0-22f4-11ed-b24f-6dbe51e79fca_1907.html", "HTML")</f>
        <v/>
      </c>
      <c r="L1806">
        <f>HYPERLINK("https://raw.githubusercontent.com/marcosmapl/dataset_imigrantes/main/noticias_filtered/g1/haitianos/2018/11_dez/txt/g1_bca91dd0-22f4-11ed-b24f-6dbe51e79fca_1907.txt", "TXT")</f>
        <v/>
      </c>
    </row>
    <row r="1807">
      <c r="A1807" s="1" t="n">
        <v>1805</v>
      </c>
      <c r="B1807" t="n">
        <v>2018</v>
      </c>
      <c r="C1807" s="2" t="n">
        <v>43459.99086675926</v>
      </c>
      <c r="D1807" t="inlineStr">
        <is>
          <t>G1</t>
        </is>
      </c>
      <c r="E1807" t="inlineStr">
        <is>
          <t>VENEZUELANOS</t>
        </is>
      </c>
      <c r="F1807" t="inlineStr">
        <is>
          <t>JORNAL NACIONAL</t>
        </is>
      </c>
      <c r="G1807" t="inlineStr"/>
      <c r="H1807" t="inlineStr">
        <is>
          <t>BRASILEIROS AJUDAM FAMÍLIA VENEZUELANA A SUPERAR OBSTÁCULOS DESDE QUE CHEGOU AO PAÍS</t>
        </is>
      </c>
      <c r="I1807" t="inlineStr">
        <is>
          <t>JUAN VEIO COM A FAMÍLIA DA VENEZUELA, PERDEU O EMPREGO E TEVE QUE MORAR NA RUA COM OS FILHOS E A MULHER. COMERCIANTE E PROFESSORA AJUDARAM O VENEZUELANO A RECONSTRUIR A VIDA.</t>
        </is>
      </c>
      <c r="J1807">
        <f>HYPERLINK("https://g1.globo.com/jornal-nacional/noticia/2018/12/25/brasileiros-ajudam-venezuelano-que-enfrentou-momentos-angustiantes-desde-que-chegou-ao-pais.ghtml", "URL")</f>
        <v/>
      </c>
      <c r="K1807">
        <f>HYPERLINK("https://raw.githubusercontent.com/marcosmapl/dataset_imigrantes/main/noticias_filtered/g1/venezuelanos/2018/11_dez/html/g1_608e9390-230d-11ed-b24f-6dbe51e79fca_2684.html", "HTML")</f>
        <v/>
      </c>
      <c r="L1807">
        <f>HYPERLINK("https://raw.githubusercontent.com/marcosmapl/dataset_imigrantes/main/noticias_filtered/g1/venezuelanos/2018/11_dez/txt/g1_608e9390-230d-11ed-b24f-6dbe51e79fca_2684.txt", "TXT")</f>
        <v/>
      </c>
    </row>
    <row r="1808">
      <c r="A1808" s="1" t="n">
        <v>1806</v>
      </c>
      <c r="B1808" t="n">
        <v>2018</v>
      </c>
      <c r="C1808" s="2" t="n">
        <v>43459.34027777778</v>
      </c>
      <c r="D1808" t="inlineStr">
        <is>
          <t>A CRITICA</t>
        </is>
      </c>
      <c r="E1808" t="inlineStr">
        <is>
          <t>VENEZUELANOS</t>
        </is>
      </c>
      <c r="F1808" t="inlineStr">
        <is>
          <t>MANAUS</t>
        </is>
      </c>
      <c r="G1808" t="inlineStr">
        <is>
          <t>ACRÍTICA.COM</t>
        </is>
      </c>
      <c r="H1808" t="inlineStr">
        <is>
          <t>ESPÍRITAS CELEBRAM NATAL COM MORADORES DE RUAS E PACIENTES DE HOSPITAIS EM MANAUS</t>
        </is>
      </c>
      <c r="I1808" t="inlineStr">
        <is>
          <t>VOLUNTÁRIOS SE REÚNEM TODOS OS ANOS PARA PASSAR A DATA COM PESSOAS QUE ESTEJAM EM PERÍODOS DE DIFICULDADE. PROGRAMAÇÃO CONTA COM CEIA NO CENTRO DA CAPITAL</t>
        </is>
      </c>
      <c r="J1808">
        <f>HYPERLINK("https://www.acritica.com/manaus/espiritas-celebram-natal-com-moradores-de-ruas-e-pacientes-de-hospitais-em-manaus-1.78442", "URL")</f>
        <v/>
      </c>
      <c r="K1808">
        <f>HYPERLINK("https://raw.githubusercontent.com/marcosmapl/dataset_imigrantes/main/noticias_filtered/a_critica/venezuelanos/2018/11_dez/html/1.78442_1323.html", "HTML")</f>
        <v/>
      </c>
      <c r="L1808">
        <f>HYPERLINK("https://raw.githubusercontent.com/marcosmapl/dataset_imigrantes/main/noticias_filtered/a_critica/venezuelanos/2018/11_dez/txt/1.78442_1323.txt", "TXT")</f>
        <v/>
      </c>
    </row>
    <row r="1809">
      <c r="A1809" s="1" t="n">
        <v>1807</v>
      </c>
      <c r="B1809" t="n">
        <v>2018</v>
      </c>
      <c r="C1809" s="2" t="n">
        <v>43458.81072201389</v>
      </c>
      <c r="D1809" t="inlineStr">
        <is>
          <t>G1</t>
        </is>
      </c>
      <c r="E1809" t="inlineStr">
        <is>
          <t>VENEZUELANOS</t>
        </is>
      </c>
      <c r="F1809" t="inlineStr">
        <is>
          <t>RONDÔNIA</t>
        </is>
      </c>
      <c r="G1809" t="inlineStr">
        <is>
          <t>PEDRO BENTES, G1 RO</t>
        </is>
      </c>
      <c r="H1809" t="inlineStr">
        <is>
          <t>"ME PERGUNTAVA SE ESTAVA VIVENDO NO IRAQUE", DIZ VENEZUELANA QUE PASSA SEGUNDO NATAL NO BRASIL</t>
        </is>
      </c>
      <c r="I1809" t="inlineStr">
        <is>
          <t>DOIS PACOTES DE FRALDAS DESCARTÁVEIS AJUDARAM A TIRAR FAMÍLIA DE KAREN DA VENEZUELA. IMIGRANTE TINHA PLANOS DE IR PARA MARINGÁ (PR) MAS PRECISOU FICAR EM PORTO VELHO POR FALTA DE DINHEIRO.</t>
        </is>
      </c>
      <c r="J1809">
        <f>HYPERLINK("https://g1.globo.com/ro/rondonia/noticia/2018/12/24/me-perguntava-se-estava-vivendo-no-iraque-diz-venezuelana-que-passa-segundo-natal-no-brasil.ghtml", "URL")</f>
        <v/>
      </c>
      <c r="K1809">
        <f>HYPERLINK("https://raw.githubusercontent.com/marcosmapl/dataset_imigrantes/main/noticias_filtered/g1/venezuelanos/2018/11_dez/html/g1_95e7481c-2325-11ed-b24f-6dbe51e79fca_3922.html", "HTML")</f>
        <v/>
      </c>
      <c r="L1809">
        <f>HYPERLINK("https://raw.githubusercontent.com/marcosmapl/dataset_imigrantes/main/noticias_filtered/g1/venezuelanos/2018/11_dez/txt/g1_95e7481c-2325-11ed-b24f-6dbe51e79fca_3922.txt", "TXT")</f>
        <v/>
      </c>
    </row>
    <row r="1810">
      <c r="A1810" s="1" t="n">
        <v>1808</v>
      </c>
      <c r="B1810" t="n">
        <v>2018</v>
      </c>
      <c r="C1810" s="2" t="n">
        <v>43458.70842237269</v>
      </c>
      <c r="D1810" t="inlineStr">
        <is>
          <t>G1</t>
        </is>
      </c>
      <c r="E1810" t="inlineStr">
        <is>
          <t>HAITIANOS</t>
        </is>
      </c>
      <c r="F1810" t="inlineStr">
        <is>
          <t>RIO GRANDE DO SUL</t>
        </is>
      </c>
      <c r="G1810" t="inlineStr">
        <is>
          <t>G1 RS</t>
        </is>
      </c>
      <c r="H1810" t="inlineStr">
        <is>
          <t>PM QUE AJUDOU HAITIANA A DAR À LUZ EM CALÇADA DE PORTO ALEGRE CRIA CAMPANHA PARA AJUDAR BEBÊ</t>
        </is>
      </c>
      <c r="I1810" t="inlineStr">
        <is>
          <t>LUAN RIBAS BAZZAN DIZ TER RECEBIDO CONTATOS DE PESSOAS QUERENDO FAZER DOAÇÕES À FAMÍLIA DE IMIGRANTES. ELE REALIZOU O PARTO NA SEXTA-FEIRA (21), EM UMA AVENIDA DA ZONA NORTE DA CAPITAL GAÚCHA.</t>
        </is>
      </c>
      <c r="J1810">
        <f>HYPERLINK("https://g1.globo.com/rs/rio-grande-do-sul/noticia/2018/12/24/pm-que-ajudou-haitiana-a-dar-a-luz-em-calcada-de-porto-alegre-cria-campanha-para-ajudar-bebe.ghtml", "URL")</f>
        <v/>
      </c>
      <c r="K1810">
        <f>HYPERLINK("https://raw.githubusercontent.com/marcosmapl/dataset_imigrantes/main/noticias_filtered/g1/haitianos/2018/11_dez/html/g1_d16bf600-230f-11ed-b24f-6dbe51e79fca_2821.html", "HTML")</f>
        <v/>
      </c>
      <c r="L1810">
        <f>HYPERLINK("https://raw.githubusercontent.com/marcosmapl/dataset_imigrantes/main/noticias_filtered/g1/haitianos/2018/11_dez/txt/g1_d16bf600-230f-11ed-b24f-6dbe51e79fca_2821.txt", "TXT")</f>
        <v/>
      </c>
    </row>
    <row r="1811">
      <c r="A1811" s="1" t="n">
        <v>1809</v>
      </c>
      <c r="B1811" t="n">
        <v>2018</v>
      </c>
      <c r="C1811" s="2" t="n">
        <v>43458.60215259259</v>
      </c>
      <c r="D1811" t="inlineStr">
        <is>
          <t>G1</t>
        </is>
      </c>
      <c r="E1811" t="inlineStr">
        <is>
          <t>VENEZUELANOS</t>
        </is>
      </c>
      <c r="F1811" t="inlineStr">
        <is>
          <t>RORAIMA</t>
        </is>
      </c>
      <c r="G1811" t="inlineStr">
        <is>
          <t>G1 RR — BOA VISTA</t>
        </is>
      </c>
      <c r="H1811" t="inlineStr">
        <is>
          <t>VENEZUELANO É ASSASSINADO POR PM REFORMADO AO COBRAR DÍVIDA DE R$ 50 EM BOA VISTA</t>
        </is>
      </c>
      <c r="I1811" t="inlineStr">
        <is>
          <t>CORPO DA VÍTIMA FOI ABANDONADO NO MEIO DA RUA. CRIME FOI NA NOITE DESTE DOMINGO (23).</t>
        </is>
      </c>
      <c r="J1811">
        <f>HYPERLINK("https://g1.globo.com/rr/roraima/noticia/2018/12/24/venezuelano-e-assassinado-por-pm-reformado-ao-cobrar-divida-de-r-50-em-boa-vista.ghtml", "URL")</f>
        <v/>
      </c>
      <c r="K1811">
        <f>HYPERLINK("https://raw.githubusercontent.com/marcosmapl/dataset_imigrantes/main/noticias_filtered/g1/venezuelanos/2018/11_dez/html/g1_0e1e0ecc-2328-11ed-b24f-6dbe51e79fca_4062.html", "HTML")</f>
        <v/>
      </c>
      <c r="L1811">
        <f>HYPERLINK("https://raw.githubusercontent.com/marcosmapl/dataset_imigrantes/main/noticias_filtered/g1/venezuelanos/2018/11_dez/txt/g1_0e1e0ecc-2328-11ed-b24f-6dbe51e79fca_4062.txt", "TXT")</f>
        <v/>
      </c>
    </row>
    <row r="1812">
      <c r="A1812" s="1" t="n">
        <v>1810</v>
      </c>
      <c r="B1812" t="n">
        <v>2018</v>
      </c>
      <c r="C1812" s="2" t="n">
        <v>43458.53685660879</v>
      </c>
      <c r="D1812" t="inlineStr">
        <is>
          <t>G1</t>
        </is>
      </c>
      <c r="E1812" t="inlineStr">
        <is>
          <t>VENEZUELANOS</t>
        </is>
      </c>
      <c r="F1812" t="inlineStr">
        <is>
          <t>AMAZONAS</t>
        </is>
      </c>
      <c r="G1812" t="inlineStr">
        <is>
          <t>RICKARDO MARQUES, G1 AM</t>
        </is>
      </c>
      <c r="H1812" t="inlineStr">
        <is>
          <t>ARTISTA PLÁSTICO VENEZUELANO BUSCA OPORTUNIDADES DE TRABALHO EM MANAUS: 'A IDEIA É SEGUIR ADIANTE'</t>
        </is>
      </c>
      <c r="I1812" t="inlineStr">
        <is>
          <t>HERMINIO MAIO, DE 54 ANOS, CHEGOU AO BRASIL POR MEIO DO PROCESSO DE INTERIORIZAÇÃO DO GOVERNO FEDERAL. MANAUS FOI DESTINO DE CERCA DE 500 IMIGRANTES DESTA AÇÃO.</t>
        </is>
      </c>
      <c r="J1812">
        <f>HYPERLINK("https://g1.globo.com/am/amazonas/noticia/2018/12/24/artista-plastico-venezuelano-busca-oportunidades-de-trabalho-em-manaus-a-ideia-e-seguir-adiante.ghtml", "URL")</f>
        <v/>
      </c>
      <c r="K1812">
        <f>HYPERLINK("https://raw.githubusercontent.com/marcosmapl/dataset_imigrantes/main/noticias_filtered/g1/venezuelanos/2018/11_dez/html/g1_b21ba284-230d-11ed-b24f-6dbe51e79fca_2702.html", "HTML")</f>
        <v/>
      </c>
      <c r="L1812">
        <f>HYPERLINK("https://raw.githubusercontent.com/marcosmapl/dataset_imigrantes/main/noticias_filtered/g1/venezuelanos/2018/11_dez/txt/g1_b21ba284-230d-11ed-b24f-6dbe51e79fca_2702.txt", "TXT")</f>
        <v/>
      </c>
    </row>
    <row r="1813">
      <c r="A1813" s="1" t="n">
        <v>1811</v>
      </c>
      <c r="B1813" t="n">
        <v>2018</v>
      </c>
      <c r="C1813" s="2" t="n">
        <v>43458.53105274306</v>
      </c>
      <c r="D1813" t="inlineStr">
        <is>
          <t>G1</t>
        </is>
      </c>
      <c r="E1813" t="inlineStr">
        <is>
          <t>VENEZUELANOS</t>
        </is>
      </c>
      <c r="F1813" t="inlineStr">
        <is>
          <t>PERNAMBUCO</t>
        </is>
      </c>
      <c r="G1813" t="inlineStr">
        <is>
          <t>PEDRO ALVES, G1 PE</t>
        </is>
      </c>
      <c r="H1813" t="inlineStr">
        <is>
          <t>'ANDEI ATÉ OLINDA DISTRIBUINDO CURRÍCULOS', DIZ VENEZUELANO REFUGIADO EM IGARASSU</t>
        </is>
      </c>
      <c r="I1813" t="inlineStr">
        <is>
          <t>NO GRANDE RECIFE, 120 REFUGIADOS DA VENEZUELA TENTAM A VIDA, FUGINDO DA CRISE QUE ASSOLA O PAÍS.</t>
        </is>
      </c>
      <c r="J1813">
        <f>HYPERLINK("https://g1.globo.com/pe/pernambuco/noticia/2018/12/24/andei-ate-olinda-distribuindo-curriculos-diz-venezuelano-refugiado-em-igarassu.ghtml", "URL")</f>
        <v/>
      </c>
      <c r="K1813">
        <f>HYPERLINK("https://raw.githubusercontent.com/marcosmapl/dataset_imigrantes/main/noticias_filtered/g1/venezuelanos/2018/11_dez/html/g1_c54255da-230b-11ed-b24f-6dbe51e79fca_2585.html", "HTML")</f>
        <v/>
      </c>
      <c r="L1813">
        <f>HYPERLINK("https://raw.githubusercontent.com/marcosmapl/dataset_imigrantes/main/noticias_filtered/g1/venezuelanos/2018/11_dez/txt/g1_c54255da-230b-11ed-b24f-6dbe51e79fca_2585.txt", "TXT")</f>
        <v/>
      </c>
    </row>
    <row r="1814">
      <c r="A1814" s="1" t="n">
        <v>1812</v>
      </c>
      <c r="B1814" t="n">
        <v>2018</v>
      </c>
      <c r="C1814" s="2" t="n">
        <v>43458.5260713426</v>
      </c>
      <c r="D1814" t="inlineStr">
        <is>
          <t>G1</t>
        </is>
      </c>
      <c r="E1814" t="inlineStr">
        <is>
          <t>VENEZUELANOS</t>
        </is>
      </c>
      <c r="F1814" t="inlineStr">
        <is>
          <t>RIO GRANDE DO NORTE</t>
        </is>
      </c>
      <c r="G1814" t="inlineStr">
        <is>
          <t>IGOR JÁCOME, G1 RN</t>
        </is>
      </c>
      <c r="H1814" t="inlineStr">
        <is>
          <t>HÁ DOIS MESES NO RN, FAMÍLIAS VENEZUELANAS CONSEGUEM EMPREGO E COMEÇAM NOVA VIDA NO INTERIOR</t>
        </is>
      </c>
      <c r="I1814" t="inlineStr">
        <is>
          <t>GRUPO DE 60 IMIGRANTES CHEGOU AO ESTADO EM OUTUBRO E COMEÇOU PROCESSO DE 'EMANCIPAÇÃO' DO PROGRAMA DE INTERIORIZAÇÃO EM CAICÓ.</t>
        </is>
      </c>
      <c r="J1814">
        <f>HYPERLINK("https://g1.globo.com/rn/rio-grande-do-norte/noticia/2018/12/24/ha-dois-meses-no-rn-familias-venezuelanas-conseguem-emprego-e-comecam-nova-vida-no-interior.ghtml", "URL")</f>
        <v/>
      </c>
      <c r="K1814">
        <f>HYPERLINK("https://raw.githubusercontent.com/marcosmapl/dataset_imigrantes/main/noticias_filtered/g1/venezuelanos/2018/11_dez/html/g1_91dffc86-2317-11ed-b24f-6dbe51e79fca_3217.html", "HTML")</f>
        <v/>
      </c>
      <c r="L1814">
        <f>HYPERLINK("https://raw.githubusercontent.com/marcosmapl/dataset_imigrantes/main/noticias_filtered/g1/venezuelanos/2018/11_dez/txt/g1_91dffc86-2317-11ed-b24f-6dbe51e79fca_3217.txt", "TXT")</f>
        <v/>
      </c>
    </row>
    <row r="1815">
      <c r="A1815" s="1" t="n">
        <v>1813</v>
      </c>
      <c r="B1815" t="n">
        <v>2018</v>
      </c>
      <c r="C1815" s="2" t="n">
        <v>43458.52353362268</v>
      </c>
      <c r="D1815" t="inlineStr">
        <is>
          <t>G1</t>
        </is>
      </c>
      <c r="E1815" t="inlineStr">
        <is>
          <t>VENEZUELANOS</t>
        </is>
      </c>
      <c r="F1815" t="inlineStr">
        <is>
          <t>RIO GRANDE DO SUL</t>
        </is>
      </c>
      <c r="G1815" t="inlineStr">
        <is>
          <t>JOYCE HEURICH, G1 RS</t>
        </is>
      </c>
      <c r="H1815" t="inlineStr">
        <is>
          <t>'BRASIL ME ENSINOU A PARTILHAR', DIZ VENEZUELANA QUE TENTA RECONSTRUIR VIDA NO RS APÓS PROGRAMA DE INTERIORIZAÇÃO</t>
        </is>
      </c>
      <c r="I1815" t="inlineStr">
        <is>
          <t>KIMBERLY DOMÍNGUEZ  VIVE HÁ MAIS DE 2 MESES COM A FAMÍLIA EM FAZENDA NO INTERIOR DE GRAVATAÍ. DOS 837 ESTRANGEIROS TRANSFERIDOS DE RR PARA O RS, MAIS DE 300 JÁ CONSEGUIRAM UMA OCUPAÇÃO.</t>
        </is>
      </c>
      <c r="J1815">
        <f>HYPERLINK("https://g1.globo.com/rs/rio-grande-do-sul/noticia/2018/12/24/brasil-me-ensinou-a-partilhar-diz-venezuelana-que-tenta-reconstruir-vida-no-rs-apos-programa-de-interiorizacao.ghtml", "URL")</f>
        <v/>
      </c>
      <c r="K1815">
        <f>HYPERLINK("https://raw.githubusercontent.com/marcosmapl/dataset_imigrantes/main/noticias_filtered/g1/venezuelanos/2018/11_dez/html/g1_f2ded374-231a-11ed-b24f-6dbe51e79fca_3362.html", "HTML")</f>
        <v/>
      </c>
      <c r="L1815">
        <f>HYPERLINK("https://raw.githubusercontent.com/marcosmapl/dataset_imigrantes/main/noticias_filtered/g1/venezuelanos/2018/11_dez/txt/g1_f2ded374-231a-11ed-b24f-6dbe51e79fca_3362.txt", "TXT")</f>
        <v/>
      </c>
    </row>
    <row r="1816">
      <c r="A1816" s="1" t="n">
        <v>1814</v>
      </c>
      <c r="B1816" t="n">
        <v>2018</v>
      </c>
      <c r="C1816" s="2" t="n">
        <v>43457.94305555556</v>
      </c>
      <c r="D1816" t="inlineStr">
        <is>
          <t>A CRITICA</t>
        </is>
      </c>
      <c r="E1816" t="inlineStr">
        <is>
          <t>VENEZUELANOS</t>
        </is>
      </c>
      <c r="F1816" t="inlineStr">
        <is>
          <t>MANAUS</t>
        </is>
      </c>
      <c r="G1816" t="inlineStr">
        <is>
          <t>PAULO ANDRÉ NUNES</t>
        </is>
      </c>
      <c r="H1816" t="inlineStr">
        <is>
          <t>NATAL SERÁ DE SAUDADES PARA VENEZUELANOS QUE ESTÃO MORANDO EM MANAUS</t>
        </is>
      </c>
      <c r="I1816" t="inlineStr">
        <is>
          <t>IMIGRANTES FALAM QUE O DIA NATALINO SERÁ UMA DATA PARA RELEMBRAR AINDA MAIS DA TERRA ONDE NASCERAM E DOS PARENTES</t>
        </is>
      </c>
      <c r="J1816">
        <f>HYPERLINK("https://www.acritica.com/manaus/natal-sera-de-saudades-para-venezuelanos-que-est-o-morando-em-manaus-1.80614", "URL")</f>
        <v/>
      </c>
      <c r="K1816">
        <f>HYPERLINK("https://raw.githubusercontent.com/marcosmapl/dataset_imigrantes/main/noticias_filtered/a_critica/venezuelanos/2018/11_dez/html/1.80614_1182.html", "HTML")</f>
        <v/>
      </c>
      <c r="L1816">
        <f>HYPERLINK("https://raw.githubusercontent.com/marcosmapl/dataset_imigrantes/main/noticias_filtered/a_critica/venezuelanos/2018/11_dez/txt/1.80614_1182.txt", "TXT")</f>
        <v/>
      </c>
    </row>
    <row r="1817">
      <c r="A1817" s="1" t="n">
        <v>1815</v>
      </c>
      <c r="B1817" t="n">
        <v>2018</v>
      </c>
      <c r="C1817" s="2" t="n">
        <v>43456.73946759259</v>
      </c>
      <c r="D1817" t="inlineStr">
        <is>
          <t>A CRITICA</t>
        </is>
      </c>
      <c r="E1817" t="inlineStr">
        <is>
          <t>VENEZUELANOS</t>
        </is>
      </c>
      <c r="F1817" t="inlineStr">
        <is>
          <t>MANAUS</t>
        </is>
      </c>
      <c r="G1817" t="inlineStr">
        <is>
          <t>ACRÍTICA.COM</t>
        </is>
      </c>
      <c r="H1817" t="inlineStr">
        <is>
          <t>NATAL DE RUA LEVA ATOS SOLIDÁRIOS A MORADORES DE RUA E PACIENTES DE HOSPITAIS EM MANAUS</t>
        </is>
      </c>
      <c r="I1817" t="inlineStr">
        <is>
          <t>ATIVIDADE SOLIDÁRIA É REALIZADA HÁ MAIS DE 20 ANOS EM MANAUS E ENVOLVE CERCA DE 150 VOLUNTÁRIOS NO DIA 25 DE DEZEMBRO</t>
        </is>
      </c>
      <c r="J1817">
        <f>HYPERLINK("https://www.acritica.com/manaus/natal-de-rua-leva-atos-solidarios-a-moradores-de-rua-e-pacientes-de-hospitais-em-manaus-1.80683", "URL")</f>
        <v/>
      </c>
      <c r="K1817">
        <f>HYPERLINK("https://raw.githubusercontent.com/marcosmapl/dataset_imigrantes/main/noticias_filtered/a_critica/venezuelanos/2018/11_dez/html/1.80683_1049.html", "HTML")</f>
        <v/>
      </c>
      <c r="L1817">
        <f>HYPERLINK("https://raw.githubusercontent.com/marcosmapl/dataset_imigrantes/main/noticias_filtered/a_critica/venezuelanos/2018/11_dez/txt/1.80683_1049.txt", "TXT")</f>
        <v/>
      </c>
    </row>
    <row r="1818">
      <c r="A1818" s="1" t="n">
        <v>1816</v>
      </c>
      <c r="B1818" t="n">
        <v>2018</v>
      </c>
      <c r="C1818" s="2" t="n">
        <v>43455.70374936343</v>
      </c>
      <c r="D1818" t="inlineStr">
        <is>
          <t>G1</t>
        </is>
      </c>
      <c r="E1818" t="inlineStr">
        <is>
          <t>HAITIANOS</t>
        </is>
      </c>
      <c r="F1818" t="inlineStr">
        <is>
          <t>RIO GRANDE DO SUL</t>
        </is>
      </c>
      <c r="G1818" t="inlineStr">
        <is>
          <t>G1 RS</t>
        </is>
      </c>
      <c r="H1818" t="inlineStr">
        <is>
          <t>HAITIANA GANHA BEBÊ EM VIA PÚBLICA COM AJUDA DE SOLDADO DA BM EM PORTO ALEGRE</t>
        </is>
      </c>
      <c r="I1818" t="inlineStr">
        <is>
          <t>PARTO ACONTECEU NA CALÇADA DA AVENIDA FRANCISCO TREIN, PERTO DO HOSPITAL CONCEIÇÃO. SOLDADO LUAN RIBAS BAZZAN, QUE AJUDOU NO NASCIMENTO DO BEBÊ, DISSE QUE A MULHER ESTAVA INDO À PÉ PARA O HOSPITAL.</t>
        </is>
      </c>
      <c r="J1818">
        <f>HYPERLINK("https://g1.globo.com/rs/rio-grande-do-sul/noticia/2018/12/21/haitiana-ganha-bebe-em-via-publica-com-ajuda-de-soldado-da-bm-em-porto-alegre.ghtml", "URL")</f>
        <v/>
      </c>
      <c r="K1818">
        <f>HYPERLINK("https://raw.githubusercontent.com/marcosmapl/dataset_imigrantes/main/noticias_filtered/g1/haitianos/2018/11_dez/html/g1_acde23d6-2322-11ed-b24f-6dbe51e79fca_3766.html", "HTML")</f>
        <v/>
      </c>
      <c r="L1818">
        <f>HYPERLINK("https://raw.githubusercontent.com/marcosmapl/dataset_imigrantes/main/noticias_filtered/g1/haitianos/2018/11_dez/txt/g1_acde23d6-2322-11ed-b24f-6dbe51e79fca_3766.txt", "TXT")</f>
        <v/>
      </c>
    </row>
    <row r="1819">
      <c r="A1819" s="1" t="n">
        <v>1817</v>
      </c>
      <c r="B1819" t="n">
        <v>2018</v>
      </c>
      <c r="C1819" s="2" t="n">
        <v>43454.93745795139</v>
      </c>
      <c r="D1819" t="inlineStr">
        <is>
          <t>G1</t>
        </is>
      </c>
      <c r="E1819" t="inlineStr">
        <is>
          <t>HAITIANOS</t>
        </is>
      </c>
      <c r="F1819" t="inlineStr">
        <is>
          <t>SANTA CATARINA</t>
        </is>
      </c>
      <c r="G1819" t="inlineStr">
        <is>
          <t>NSC TV</t>
        </is>
      </c>
      <c r="H1819" t="inlineStr">
        <is>
          <t>POLÍCIA FECHA AGÊNCIA DE TURISMO SUSPEITA DE APLICAR GOLPES EM HAITIANOS EM SC</t>
        </is>
      </c>
      <c r="I1819" t="inlineStr">
        <is>
          <t>DEZ VÍTIMAS JÁ FORAM IDENTIFICADAS EM BLUMENAU, NO VALE DO ITAJAÍ.</t>
        </is>
      </c>
      <c r="J1819">
        <f>HYPERLINK("https://g1.globo.com/sc/santa-catarina/noticia/2018/12/20/policia-fecha-agencia-de-turismo-suspeita-de-aplicar-golpes-em-haitianos-em-sc.ghtml", "URL")</f>
        <v/>
      </c>
      <c r="K1819">
        <f>HYPERLINK("https://raw.githubusercontent.com/marcosmapl/dataset_imigrantes/main/noticias_filtered/g1/haitianos/2018/11_dez/html/g1_e7b3ad10-22b3-11ed-b24f-6dbe51e79fca_1645.html", "HTML")</f>
        <v/>
      </c>
      <c r="L1819">
        <f>HYPERLINK("https://raw.githubusercontent.com/marcosmapl/dataset_imigrantes/main/noticias_filtered/g1/haitianos/2018/11_dez/txt/g1_e7b3ad10-22b3-11ed-b24f-6dbe51e79fca_1645.txt", "TXT")</f>
        <v/>
      </c>
    </row>
    <row r="1820">
      <c r="A1820" s="1" t="n">
        <v>1818</v>
      </c>
      <c r="B1820" t="n">
        <v>2018</v>
      </c>
      <c r="C1820" s="2" t="n">
        <v>43453.31298540509</v>
      </c>
      <c r="D1820" t="inlineStr">
        <is>
          <t>G1</t>
        </is>
      </c>
      <c r="E1820" t="inlineStr">
        <is>
          <t>HAITIANOS</t>
        </is>
      </c>
      <c r="F1820" t="inlineStr">
        <is>
          <t>GOIÁS</t>
        </is>
      </c>
      <c r="G1820" t="inlineStr">
        <is>
          <t>PAULA RESENDE, G1 GO</t>
        </is>
      </c>
      <c r="H1820" t="inlineStr">
        <is>
          <t>APÓS TER CÂNCER DE MAMA, IDOSA AJUDA HÁ QUASE 20 ANOS OUTRAS MULHERES A ENFRENTAREM A DOENÇA EM GOIÂNIA: 'LUTA PELA VIDA'</t>
        </is>
      </c>
      <c r="I1820" t="inlineStr">
        <is>
          <t>CORINA BISPO INTEGRA ASSOCIAÇÃO QUE JÁ AUXILIOU QUASE 2 MIL PESSOAS DE GOIÁS E ATÉ DO HAITI. ELA FABRICA TAPETES, ALMOFADAS E SABÃO PARA ANGARIAR FUNDOS PARA A PRODUÇÃO DE REFEIÇÕES PARA PACIENTES.</t>
        </is>
      </c>
      <c r="J1820">
        <f>HYPERLINK("https://g1.globo.com/go/goias/noticia/2018/12/19/apos-ter-cancer-de-mama-idosa-ajuda-ha-quase-20-anos-outras-mulheres-a-enfrentarem-a-doenca-em-goiania-luta-pela-vida.ghtml", "URL")</f>
        <v/>
      </c>
      <c r="K1820">
        <f>HYPERLINK("https://raw.githubusercontent.com/marcosmapl/dataset_imigrantes/main/noticias_filtered/g1/haitianos/2018/11_dez/html/g1_f34b57d0-230e-11ed-b24f-6dbe51e79fca_2768.html", "HTML")</f>
        <v/>
      </c>
      <c r="L1820">
        <f>HYPERLINK("https://raw.githubusercontent.com/marcosmapl/dataset_imigrantes/main/noticias_filtered/g1/haitianos/2018/11_dez/txt/g1_f34b57d0-230e-11ed-b24f-6dbe51e79fca_2768.txt", "TXT")</f>
        <v/>
      </c>
    </row>
    <row r="1821">
      <c r="A1821" s="1" t="n">
        <v>1819</v>
      </c>
      <c r="B1821" t="n">
        <v>2018</v>
      </c>
      <c r="C1821" s="2" t="n">
        <v>43453.01049810185</v>
      </c>
      <c r="D1821" t="inlineStr">
        <is>
          <t>G1</t>
        </is>
      </c>
      <c r="E1821" t="inlineStr">
        <is>
          <t>VENEZUELANOS</t>
        </is>
      </c>
      <c r="F1821" t="inlineStr">
        <is>
          <t>JORNAL NACIONAL</t>
        </is>
      </c>
      <c r="G1821" t="inlineStr">
        <is>
          <t>JORNAL NACIONAL</t>
        </is>
      </c>
      <c r="H1821" t="inlineStr">
        <is>
          <t>ARGENTINO MACRI CRITICA VENEZUELA NA ABERTURA DO ENCONTRO DO MERCOSUL</t>
        </is>
      </c>
      <c r="I1821" t="inlineStr">
        <is>
          <t>EVO MORALES, DA BOLÍVIA, ALINHADO AO GOVERNO VENEZUELANO, PEDIU RESPEITO AOS PROBLEMAS E À SOBERANIA DE CADA PAÍS. TEMER PARTICIPOU DA ÚLTIMA REUNIÃO COMO PRESIDENTE.</t>
        </is>
      </c>
      <c r="J1821">
        <f>HYPERLINK("https://g1.globo.com/jornal-nacional/noticia/2018/12/18/argentino-macri-critica-venezuela-na-abertura-do-encontro-do-mercosul.ghtml", "URL")</f>
        <v/>
      </c>
      <c r="K1821">
        <f>HYPERLINK("https://raw.githubusercontent.com/marcosmapl/dataset_imigrantes/main/noticias_filtered/g1/venezuelanos/2018/11_dez/html/g1_a3eba70a-2311-11ed-b24f-6dbe51e79fca_2927.html", "HTML")</f>
        <v/>
      </c>
      <c r="L1821">
        <f>HYPERLINK("https://raw.githubusercontent.com/marcosmapl/dataset_imigrantes/main/noticias_filtered/g1/venezuelanos/2018/11_dez/txt/g1_a3eba70a-2311-11ed-b24f-6dbe51e79fca_2927.txt", "TXT")</f>
        <v/>
      </c>
    </row>
    <row r="1822">
      <c r="A1822" s="1" t="n">
        <v>1820</v>
      </c>
      <c r="B1822" t="n">
        <v>2018</v>
      </c>
      <c r="C1822" s="2" t="n">
        <v>43451.87291666667</v>
      </c>
      <c r="D1822" t="inlineStr">
        <is>
          <t>A CRITICA</t>
        </is>
      </c>
      <c r="E1822" t="inlineStr">
        <is>
          <t>VENEZUELANOS</t>
        </is>
      </c>
      <c r="F1822" t="inlineStr">
        <is>
          <t>MANAUS</t>
        </is>
      </c>
      <c r="G1822" t="inlineStr">
        <is>
          <t>ACRÍTICA.COM</t>
        </is>
      </c>
      <c r="H1822" t="inlineStr">
        <is>
          <t>PREFEITURA E GOVERNO TÊM 10 DIAS PARA TIRAR VENEZUELANOS ACAMPADOS DA PRECARIEDADE</t>
        </is>
      </c>
      <c r="I1822" t="inlineStr">
        <is>
          <t>DPU E MPF FIZERAM A RECOMENDAÇÃO AOS PODERES MUNICIPAL E ESTADUAL NESTA SEGUNDA-FEIRA (17)</t>
        </is>
      </c>
      <c r="J1822">
        <f>HYPERLINK("https://www.acritica.com/manaus/prefeitura-e-governo-tem-10-dias-para-tirar-venezuelanos-acampados-da-precariedade-1.81391", "URL")</f>
        <v/>
      </c>
      <c r="K1822">
        <f>HYPERLINK("https://raw.githubusercontent.com/marcosmapl/dataset_imigrantes/main/noticias_filtered/a_critica/venezuelanos/2018/11_dez/html/1.81391_584.html", "HTML")</f>
        <v/>
      </c>
      <c r="L1822">
        <f>HYPERLINK("https://raw.githubusercontent.com/marcosmapl/dataset_imigrantes/main/noticias_filtered/a_critica/venezuelanos/2018/11_dez/txt/1.81391_584.txt", "TXT")</f>
        <v/>
      </c>
    </row>
    <row r="1823">
      <c r="A1823" s="1" t="n">
        <v>1821</v>
      </c>
      <c r="B1823" t="n">
        <v>2018</v>
      </c>
      <c r="C1823" s="2" t="n">
        <v>43451.75274072916</v>
      </c>
      <c r="D1823" t="inlineStr">
        <is>
          <t>G1</t>
        </is>
      </c>
      <c r="E1823" t="inlineStr">
        <is>
          <t>VENEZUELANOS</t>
        </is>
      </c>
      <c r="F1823" t="inlineStr">
        <is>
          <t>PERNAMBUCO</t>
        </is>
      </c>
      <c r="G1823" t="inlineStr">
        <is>
          <t>G1 PE</t>
        </is>
      </c>
      <c r="H1823" t="inlineStr">
        <is>
          <t>MAIS 117 VENEZUELANOS REFUGIADOS CHEGAM A PERNAMBUCO</t>
        </is>
      </c>
      <c r="I1823" t="inlineStr">
        <is>
          <t>ESTE É O QUARTO DESEMBARQUE DE IMIGRANTES QUE ACONTECE NO ESTADO DESDE O INÍCIO DO ACORDO DE INTERIORIZAÇÃO DO FLUXO MIGRATÓRIO DE RORAIMA.</t>
        </is>
      </c>
      <c r="J1823">
        <f>HYPERLINK("https://g1.globo.com/pe/pernambuco/noticia/2018/12/17/mais-117-venezuelanos-refugiados-chegam-a-pernambuco.ghtml", "URL")</f>
        <v/>
      </c>
      <c r="K1823">
        <f>HYPERLINK("https://raw.githubusercontent.com/marcosmapl/dataset_imigrantes/main/noticias_filtered/g1/venezuelanos/2018/11_dez/html/g1_c785df40-231c-11ed-b24f-6dbe51e79fca_3464.html", "HTML")</f>
        <v/>
      </c>
      <c r="L1823">
        <f>HYPERLINK("https://raw.githubusercontent.com/marcosmapl/dataset_imigrantes/main/noticias_filtered/g1/venezuelanos/2018/11_dez/txt/g1_c785df40-231c-11ed-b24f-6dbe51e79fca_3464.txt", "TXT")</f>
        <v/>
      </c>
    </row>
    <row r="1824">
      <c r="A1824" s="1" t="n">
        <v>1822</v>
      </c>
      <c r="B1824" t="n">
        <v>2018</v>
      </c>
      <c r="C1824" s="2" t="n">
        <v>43451.7294212963</v>
      </c>
      <c r="D1824" t="inlineStr">
        <is>
          <t>A CRITICA</t>
        </is>
      </c>
      <c r="E1824" t="inlineStr">
        <is>
          <t>VENEZUELANOS</t>
        </is>
      </c>
      <c r="F1824" t="inlineStr">
        <is>
          <t>ESPORTES</t>
        </is>
      </c>
      <c r="G1824" t="inlineStr">
        <is>
          <t>GABRIEL FERREIRA</t>
        </is>
      </c>
      <c r="H1824" t="inlineStr">
        <is>
          <t>ESCOLINHA DO SANTOS LANÇA EM MANAUS TURMA ESPECÍFICA PARA TREINAMENTO DE GOLEIROS</t>
        </is>
      </c>
      <c r="I1824" t="inlineStr">
        <is>
          <t>INDO NA CONTRAMÃO DO SONHO DA MOLECADA EM SER ARTILHEIRO, ESSAS "FERINHAS" SONHAM MESMO É EM FECHAR O GOL</t>
        </is>
      </c>
      <c r="J1824">
        <f>HYPERLINK("https://www.acritica.com/esportes/escolinha-do-santos-lanca-em-manaus-turma-especifica-para-treinamento-de-goleiros-1.81310", "URL")</f>
        <v/>
      </c>
      <c r="K1824">
        <f>HYPERLINK("https://raw.githubusercontent.com/marcosmapl/dataset_imigrantes/main/noticias_filtered/a_critica/venezuelanos/2018/11_dez/html/1.81310_726.html", "HTML")</f>
        <v/>
      </c>
      <c r="L1824">
        <f>HYPERLINK("https://raw.githubusercontent.com/marcosmapl/dataset_imigrantes/main/noticias_filtered/a_critica/venezuelanos/2018/11_dez/txt/1.81310_726.txt", "TXT")</f>
        <v/>
      </c>
    </row>
    <row r="1825">
      <c r="A1825" s="1" t="n">
        <v>1823</v>
      </c>
      <c r="B1825" t="n">
        <v>2018</v>
      </c>
      <c r="C1825" s="2" t="n">
        <v>43450.69847222222</v>
      </c>
      <c r="D1825" t="inlineStr">
        <is>
          <t>A CRITICA</t>
        </is>
      </c>
      <c r="E1825" t="inlineStr">
        <is>
          <t>VENEZUELANOS</t>
        </is>
      </c>
      <c r="F1825" t="inlineStr"/>
      <c r="G1825" t="inlineStr">
        <is>
          <t>AGÊNCIA BRASIL</t>
        </is>
      </c>
      <c r="H1825" t="inlineStr">
        <is>
          <t>NICOLÁS MADURO NÃO É CONVIDADO PARA POSSE DE JAIR BOLSONARO, DIZ FUTURO CHANCELER</t>
        </is>
      </c>
      <c r="I1825" t="inlineStr">
        <is>
          <t>SÃO ESPERADOS CHEFES DE ESTADO E DE GOVERNO PARA A POSSE DO PRESIDENTE ELEITO DO BRASIL, EM 1º DE JANEIRO. BOLSONARO JÁ CRITICOU O REGIME DE MADURO NA VENEZUELA</t>
        </is>
      </c>
      <c r="J1825">
        <f>HYPERLINK("https://www.acritica.com/nicolas-maduro-n-o-e-convidado-para-posse-de-jair-bolsonaro-diz-futuro-chanceler-1.81537", "URL")</f>
        <v/>
      </c>
      <c r="K1825">
        <f>HYPERLINK("https://raw.githubusercontent.com/marcosmapl/dataset_imigrantes/main/noticias_filtered/a_critica/venezuelanos/2018/11_dez/html/1.81537_1321.html", "HTML")</f>
        <v/>
      </c>
      <c r="L1825">
        <f>HYPERLINK("https://raw.githubusercontent.com/marcosmapl/dataset_imigrantes/main/noticias_filtered/a_critica/venezuelanos/2018/11_dez/txt/1.81537_1321.txt", "TXT")</f>
        <v/>
      </c>
    </row>
    <row r="1826">
      <c r="A1826" s="1" t="n">
        <v>1824</v>
      </c>
      <c r="B1826" t="n">
        <v>2018</v>
      </c>
      <c r="C1826" s="2" t="n">
        <v>43450.68174768519</v>
      </c>
      <c r="D1826" t="inlineStr">
        <is>
          <t>A CRITICA</t>
        </is>
      </c>
      <c r="E1826" t="inlineStr">
        <is>
          <t>VENEZUELANOS</t>
        </is>
      </c>
      <c r="F1826" t="inlineStr"/>
      <c r="G1826" t="inlineStr">
        <is>
          <t>AGÊNCIA BRASIL</t>
        </is>
      </c>
      <c r="H1826" t="inlineStr">
        <is>
          <t>BOLSONARO DIZ QUE PENA DE MORTE NÃO SERÁ DEBATIDA DURANTE SEU GOVERNO</t>
        </is>
      </c>
      <c r="I1826" t="inlineStr">
        <is>
          <t>A AFIRMAÇÃO FOI FEITA APÓS O FILHO DELE, DEPUTADO FEDERAL REELEITO EDUARDO BOLSONARO, DEFENDER EM REPORTAGEM DO JORNAL O GLOBO “A POSSIBILIDADE DE PENA DE MORTE PARA TRAFICANTES”</t>
        </is>
      </c>
      <c r="J1826">
        <f>HYPERLINK("https://www.acritica.com/bolsonaro-diz-que-pena-de-morte-n-o-sera-debatida-durante-seu-governo-1.81546", "URL")</f>
        <v/>
      </c>
      <c r="K1826">
        <f>HYPERLINK("https://raw.githubusercontent.com/marcosmapl/dataset_imigrantes/main/noticias_filtered/a_critica/venezuelanos/2018/11_dez/html/1.81546_409.html", "HTML")</f>
        <v/>
      </c>
      <c r="L1826">
        <f>HYPERLINK("https://raw.githubusercontent.com/marcosmapl/dataset_imigrantes/main/noticias_filtered/a_critica/venezuelanos/2018/11_dez/txt/1.81546_409.txt", "TXT")</f>
        <v/>
      </c>
    </row>
    <row r="1827">
      <c r="A1827" s="1" t="n">
        <v>1825</v>
      </c>
      <c r="B1827" t="n">
        <v>2018</v>
      </c>
      <c r="C1827" s="2" t="n">
        <v>43449.44034895833</v>
      </c>
      <c r="D1827" t="inlineStr">
        <is>
          <t>G1</t>
        </is>
      </c>
      <c r="E1827" t="inlineStr">
        <is>
          <t>VENEZUELANOS</t>
        </is>
      </c>
      <c r="F1827" t="inlineStr">
        <is>
          <t>COMO SERÁ?</t>
        </is>
      </c>
      <c r="G1827" t="inlineStr">
        <is>
          <t>COMO SERÁ</t>
        </is>
      </c>
      <c r="H1827" t="inlineStr">
        <is>
          <t>VENEZUELANOS RECEBEM AULAS GRATUITAS DE PORTUGUÊS</t>
        </is>
      </c>
      <c r="I1827" t="inlineStr">
        <is>
          <t>ONG MINEIRA PREPARA NOSSOS VIZINHOS SUL-AMERICANOS PARA O MERCADO DE TRABALHO.</t>
        </is>
      </c>
      <c r="J1827">
        <f>HYPERLINK("https://g1.globo.com/como-sera/noticia/2018/12/15/venezuelanos-recebem-aulas-gratuitas-de-portugues.ghtml", "URL")</f>
        <v/>
      </c>
      <c r="K1827">
        <f>HYPERLINK("https://raw.githubusercontent.com/marcosmapl/dataset_imigrantes/main/noticias_filtered/g1/venezuelanos/2018/11_dez/html/g1_14b093c2-230a-11ed-b24f-6dbe51e79fca_2484.html", "HTML")</f>
        <v/>
      </c>
      <c r="L1827">
        <f>HYPERLINK("https://raw.githubusercontent.com/marcosmapl/dataset_imigrantes/main/noticias_filtered/g1/venezuelanos/2018/11_dez/txt/g1_14b093c2-230a-11ed-b24f-6dbe51e79fca_2484.txt", "TXT")</f>
        <v/>
      </c>
    </row>
    <row r="1828">
      <c r="A1828" s="1" t="n">
        <v>1826</v>
      </c>
      <c r="B1828" t="n">
        <v>2018</v>
      </c>
      <c r="C1828" s="2" t="n">
        <v>43446.96132795139</v>
      </c>
      <c r="D1828" t="inlineStr">
        <is>
          <t>G1</t>
        </is>
      </c>
      <c r="E1828" t="inlineStr">
        <is>
          <t>VENEZUELANOS</t>
        </is>
      </c>
      <c r="F1828" t="inlineStr">
        <is>
          <t>MUNDO</t>
        </is>
      </c>
      <c r="G1828" t="inlineStr">
        <is>
          <t>AGÊNCIA EFE</t>
        </is>
      </c>
      <c r="H1828" t="inlineStr">
        <is>
          <t>EUA DIZEM QUE RÚSSIA RETIRARÁ BOMBARDEIROS DA VENEZUELA NA SEXTA-FEIRA</t>
        </is>
      </c>
      <c r="I1828" t="inlineStr">
        <is>
          <t>PORTA-VOZ DA CASA BRANCA DIZ QUE RECEBEU INFORMAÇÃO DE REPRESENTANTES RUSSOS. AVIÕES CHEGARAM A CARACAS NA SEGUNDA-FEIRA PARA PARTICIPAR DE EXERCÍCIOS MILITARES QUE VISAM PREPARAR VENEZUELA PARA 'EVENTUAIS ATAQUES'.</t>
        </is>
      </c>
      <c r="J1828">
        <f>HYPERLINK("https://g1.globo.com/mundo/noticia/2018/12/12/eua-dizem-que-russia-retirara-bombardeiros-da-venezuela-na-sexta-feira.ghtml", "URL")</f>
        <v/>
      </c>
      <c r="K1828">
        <f>HYPERLINK("https://raw.githubusercontent.com/marcosmapl/dataset_imigrantes/main/noticias_filtered/g1/venezuelanos/2018/11_dez/html/g1_bcff1282-2329-11ed-b24f-6dbe51e79fca_4136.html", "HTML")</f>
        <v/>
      </c>
      <c r="L1828">
        <f>HYPERLINK("https://raw.githubusercontent.com/marcosmapl/dataset_imigrantes/main/noticias_filtered/g1/venezuelanos/2018/11_dez/txt/g1_bcff1282-2329-11ed-b24f-6dbe51e79fca_4136.txt", "TXT")</f>
        <v/>
      </c>
    </row>
    <row r="1829">
      <c r="A1829" s="1" t="n">
        <v>1827</v>
      </c>
      <c r="B1829" t="n">
        <v>2018</v>
      </c>
      <c r="C1829" s="2" t="n">
        <v>43446.49583333333</v>
      </c>
      <c r="D1829" t="inlineStr">
        <is>
          <t>A CRITICA</t>
        </is>
      </c>
      <c r="E1829" t="inlineStr">
        <is>
          <t>VENEZUELANOS</t>
        </is>
      </c>
      <c r="F1829" t="inlineStr">
        <is>
          <t>MANAUS</t>
        </is>
      </c>
      <c r="G1829" t="inlineStr">
        <is>
          <t>VINICIUS LEAL E AMANDA GUIMARÃES</t>
        </is>
      </c>
      <c r="H1829" t="inlineStr">
        <is>
          <t>GRUPO DE VENEZUELANOS SE RECUSA A SAIR DE ACAMPAMENTO NA RODOVIÁRIA DE MANAUS</t>
        </is>
      </c>
      <c r="I1829" t="inlineStr">
        <is>
          <t>SEGUNDO A SEJUSC, OS REFUGIADOS NÃO INDÍGENAS PEDIRAM RECEBIMENTO DE ALUGUEL SOCIAL E ACOLHIMENTO EM ABRIGOS COM QUARTOS INDIVIDUAIS</t>
        </is>
      </c>
      <c r="J1829">
        <f>HYPERLINK("https://www.acritica.com/manaus/grupo-de-venezuelanos-se-recusa-a-sair-de-acampamento-na-rodoviaria-de-manaus-1.78784", "URL")</f>
        <v/>
      </c>
      <c r="K1829">
        <f>HYPERLINK("https://raw.githubusercontent.com/marcosmapl/dataset_imigrantes/main/noticias_filtered/a_critica/venezuelanos/2018/11_dez/html/1.78784_1300.html", "HTML")</f>
        <v/>
      </c>
      <c r="L1829">
        <f>HYPERLINK("https://raw.githubusercontent.com/marcosmapl/dataset_imigrantes/main/noticias_filtered/a_critica/venezuelanos/2018/11_dez/txt/1.78784_1300.txt", "TXT")</f>
        <v/>
      </c>
    </row>
    <row r="1830">
      <c r="A1830" s="1" t="n">
        <v>1828</v>
      </c>
      <c r="B1830" t="n">
        <v>2018</v>
      </c>
      <c r="C1830" s="2" t="n">
        <v>43445.47083333333</v>
      </c>
      <c r="D1830" t="inlineStr">
        <is>
          <t>PORTAL AMAZONIA</t>
        </is>
      </c>
      <c r="E1830" t="inlineStr">
        <is>
          <t>VENEZUELANOS</t>
        </is>
      </c>
      <c r="F1830" t="inlineStr">
        <is>
          <t>CIDADES</t>
        </is>
      </c>
      <c r="G1830" t="inlineStr">
        <is>
          <t>REDAÇÃO</t>
        </is>
      </c>
      <c r="H1830" t="inlineStr">
        <is>
          <t>TEMER DISCUTE PLANO DE RECUPERAÇÃO FISCAL DE RORAIMA</t>
        </is>
      </c>
      <c r="I1830" t="inlineStr">
        <is>
          <t>O PRESIDENTE MICHEL TEMER RECEBERÁ, AO MEIO-DIA DESTA TERÇA-FEIRA (11), O GOVERNADOR ELEITO DE RORAIMA, ANTONIO DENARIUM, NOMEADO INTERVENTOR NO ESTADO. DENARIUM VAI APRESENTAR AO PRESIDENTE O PLANO DE RECUPERAÇÃO FISCAL DO ESTADO E INFORMAÇÕES PARA</t>
        </is>
      </c>
      <c r="J1830">
        <f>HYPERLINK("https://portalamazonia.com/noticias/cidades/temer-discute-plano-de-recuperacao-fiscal-de-roraima", "URL")</f>
        <v/>
      </c>
      <c r="K1830">
        <f>HYPERLINK("https://raw.githubusercontent.com/marcosmapl/dataset_imigrantes/main/noticias_filtered/portal_amazonia/venezuelanos/2018/11_dez/html/16481.16481_1409.html", "HTML")</f>
        <v/>
      </c>
      <c r="L1830">
        <f>HYPERLINK("https://raw.githubusercontent.com/marcosmapl/dataset_imigrantes/main/noticias_filtered/portal_amazonia/venezuelanos/2018/11_dez/txt/16481.16481_1409.txt", "TXT")</f>
        <v/>
      </c>
    </row>
    <row r="1831">
      <c r="A1831" s="1" t="n">
        <v>1829</v>
      </c>
      <c r="B1831" t="n">
        <v>2018</v>
      </c>
      <c r="C1831" s="2" t="n">
        <v>43444.94305555556</v>
      </c>
      <c r="D1831" t="inlineStr">
        <is>
          <t>A CRITICA</t>
        </is>
      </c>
      <c r="E1831" t="inlineStr">
        <is>
          <t>VENEZUELANOS</t>
        </is>
      </c>
      <c r="F1831" t="inlineStr">
        <is>
          <t>MANAUS</t>
        </is>
      </c>
      <c r="G1831" t="inlineStr">
        <is>
          <t>ACRÍTICA.COM</t>
        </is>
      </c>
      <c r="H1831" t="inlineStr">
        <is>
          <t>TREZE VENEZUELANOS ACAMPADOS NA RODOVIÁRIA SERÃO LEVADOS PARA ABRIGO NESTA TERÇA (11)</t>
        </is>
      </c>
      <c r="I1831" t="inlineStr">
        <is>
          <t>ENTRE AS 13 PESSOAS QUE VÃO PARA O ABRIGO OASIS, LOCALIZADO NO BAIRRO ADRIANÓPOLIS, ZONA CENTRO-SUL, ESTÃO INCLUÍDAS CRIANÇAS MENORES DE CINCO ANOS, JUNTAMENTE COM SUAS MÃES</t>
        </is>
      </c>
      <c r="J1831">
        <f>HYPERLINK("https://www.acritica.com/manaus/treze-venezuelanos-acampados-na-rodoviaria-ser-o-levados-para-abrigo-nesta-terca-11-1.81785", "URL")</f>
        <v/>
      </c>
      <c r="K1831">
        <f>HYPERLINK("https://raw.githubusercontent.com/marcosmapl/dataset_imigrantes/main/noticias_filtered/a_critica/venezuelanos/2018/11_dez/html/1.81785_869.html", "HTML")</f>
        <v/>
      </c>
      <c r="L1831">
        <f>HYPERLINK("https://raw.githubusercontent.com/marcosmapl/dataset_imigrantes/main/noticias_filtered/a_critica/venezuelanos/2018/11_dez/txt/1.81785_869.txt", "TXT")</f>
        <v/>
      </c>
    </row>
    <row r="1832">
      <c r="A1832" s="1" t="n">
        <v>1830</v>
      </c>
      <c r="B1832" t="n">
        <v>2018</v>
      </c>
      <c r="C1832" s="2" t="n">
        <v>43444.38125</v>
      </c>
      <c r="D1832" t="inlineStr">
        <is>
          <t>A CRITICA</t>
        </is>
      </c>
      <c r="E1832" t="inlineStr">
        <is>
          <t>VENEZUELANOS</t>
        </is>
      </c>
      <c r="F1832" t="inlineStr"/>
      <c r="G1832" t="inlineStr">
        <is>
          <t>PAULO ANDRÉ NUNES</t>
        </is>
      </c>
      <c r="H1832" t="inlineStr">
        <is>
          <t>DECLARAÇÃO UNIVERSAL DOS DIREITOS HUMANOS COMPLETA 70 ANOS DE EXISTÊNCIA</t>
        </is>
      </c>
      <c r="I1832" t="inlineStr">
        <is>
          <t>ESPECIALISTAS FALAM SOBRE AVANÇOS E DESAFIOS DA DECLARAÇÃO, QUE GARANTE DIREITOS TANTO PARA BRASILEIROS QUANTO AOS REFUGIADOS</t>
        </is>
      </c>
      <c r="J1832">
        <f>HYPERLINK("https://www.acritica.com/declarac-o-universal-dos-direitos-humanos-completa-70-anos-de-existencia-1.81961", "URL")</f>
        <v/>
      </c>
      <c r="K1832">
        <f>HYPERLINK("https://raw.githubusercontent.com/marcosmapl/dataset_imigrantes/main/noticias_filtered/a_critica/venezuelanos/2018/11_dez/html/1.81961_873.html", "HTML")</f>
        <v/>
      </c>
      <c r="L1832">
        <f>HYPERLINK("https://raw.githubusercontent.com/marcosmapl/dataset_imigrantes/main/noticias_filtered/a_critica/venezuelanos/2018/11_dez/txt/1.81961_873.txt", "TXT")</f>
        <v/>
      </c>
    </row>
    <row r="1833">
      <c r="A1833" s="1" t="n">
        <v>1831</v>
      </c>
      <c r="B1833" t="n">
        <v>2018</v>
      </c>
      <c r="C1833" s="2" t="n">
        <v>43443.8630324074</v>
      </c>
      <c r="D1833" t="inlineStr">
        <is>
          <t>A CRITICA</t>
        </is>
      </c>
      <c r="E1833" t="inlineStr">
        <is>
          <t>VENEZUELANOS</t>
        </is>
      </c>
      <c r="F1833" t="inlineStr">
        <is>
          <t>ESPORTES</t>
        </is>
      </c>
      <c r="G1833" t="inlineStr">
        <is>
          <t>ACRÍTICA.COM</t>
        </is>
      </c>
      <c r="H1833" t="inlineStr">
        <is>
          <t>CORRIDA E CAMINHADA PARA REFUGIADOS REÚNE 2 MIL PARTICIPANTES NA PONTA NEGRA</t>
        </is>
      </c>
      <c r="I1833" t="inlineStr">
        <is>
          <t>NO TOTAL, FORAM ARRECADADOS MAIS DE 5 MIL ITENS ALIMENTÍCIOS QUE SERÃO REPASSADOS AOS ABRIGOS MANTIDOS PELA PREFEITURA DE MANAUS E A CÁRITAS ARQUIDIOCESANA</t>
        </is>
      </c>
      <c r="J1833">
        <f>HYPERLINK("https://www.acritica.com/esportes/corrida-e-caminhada-para-refugiados-reune-2-mil-participantes-na-ponta-negra-1.81892", "URL")</f>
        <v/>
      </c>
      <c r="K1833">
        <f>HYPERLINK("https://raw.githubusercontent.com/marcosmapl/dataset_imigrantes/main/noticias_filtered/a_critica/venezuelanos/2018/11_dez/html/1.81892_523.html", "HTML")</f>
        <v/>
      </c>
      <c r="L1833">
        <f>HYPERLINK("https://raw.githubusercontent.com/marcosmapl/dataset_imigrantes/main/noticias_filtered/a_critica/venezuelanos/2018/11_dez/txt/1.81892_523.txt", "TXT")</f>
        <v/>
      </c>
    </row>
    <row r="1834">
      <c r="A1834" s="1" t="n">
        <v>1832</v>
      </c>
      <c r="B1834" t="n">
        <v>2018</v>
      </c>
      <c r="C1834" s="2" t="n">
        <v>43442.81026620371</v>
      </c>
      <c r="D1834" t="inlineStr">
        <is>
          <t>A CRITICA</t>
        </is>
      </c>
      <c r="E1834" t="inlineStr">
        <is>
          <t>VENEZUELANOS</t>
        </is>
      </c>
      <c r="F1834" t="inlineStr"/>
      <c r="G1834" t="inlineStr">
        <is>
          <t>AGÊNCIA BRASIL</t>
        </is>
      </c>
      <c r="H1834" t="inlineStr">
        <is>
          <t>CONSELHOS APROVAM INTERVENÇÃO EM RORAIMA E DECRETO SAI NA SEGUNDA</t>
        </is>
      </c>
      <c r="I1834" t="inlineStr">
        <is>
          <t>COM O TEXTO EM FASE DE FINALIZAÇÃO, O DECRETO DEVE SER PUBLICADO NA SEGUNDA-FEIRA (10) NO DIÁRIO OFICIAL DA UNIÃO</t>
        </is>
      </c>
      <c r="J1834">
        <f>HYPERLINK("https://www.acritica.com/conselhos-aprovam-intervenc-o-em-roraima-e-decreto-sai-na-segunda-1.81978", "URL")</f>
        <v/>
      </c>
      <c r="K1834">
        <f>HYPERLINK("https://raw.githubusercontent.com/marcosmapl/dataset_imigrantes/main/noticias_filtered/a_critica/venezuelanos/2018/11_dez/html/1.81978_1265.html", "HTML")</f>
        <v/>
      </c>
      <c r="L1834">
        <f>HYPERLINK("https://raw.githubusercontent.com/marcosmapl/dataset_imigrantes/main/noticias_filtered/a_critica/venezuelanos/2018/11_dez/txt/1.81978_1265.txt", "TXT")</f>
        <v/>
      </c>
    </row>
    <row r="1835">
      <c r="A1835" s="1" t="n">
        <v>1833</v>
      </c>
      <c r="B1835" t="n">
        <v>2018</v>
      </c>
      <c r="C1835" s="2" t="n">
        <v>43441.7284409375</v>
      </c>
      <c r="D1835" t="inlineStr">
        <is>
          <t>G1</t>
        </is>
      </c>
      <c r="E1835" t="inlineStr">
        <is>
          <t>VENEZUELANOS</t>
        </is>
      </c>
      <c r="F1835" t="inlineStr">
        <is>
          <t>SÃO PAULO</t>
        </is>
      </c>
      <c r="G1835" t="inlineStr">
        <is>
          <t>VERUSKA DONATO , JORNAL HOJE — SÃO PAULO</t>
        </is>
      </c>
      <c r="H1835" t="inlineStr">
        <is>
          <t>ESPANHOL AUTOR DE MASSACRE EM 1977 USAVA IDENTIDADE VENEZUELANA E VIVIA COM BRASILEIRA EM SP</t>
        </is>
      </c>
      <c r="I1835" t="inlineStr">
        <is>
          <t>CARLOS JULIÁ FOI PRESO NA QUARTA-FEIRA (5) EM SÃO PAULO. ELE FOI CONDENADO A 193 ANOS DE PRISÃO POR SER UM DOS AUTORES DE ATENTADO A UM ESCRITÓRIO DE ADVOCACIA EM MADRI.</t>
        </is>
      </c>
      <c r="J1835">
        <f>HYPERLINK("https://g1.globo.com/sp/sao-paulo/noticia/2018/12/07/espanhol-autor-de-massacre-em-1977-usava-identidade-venezuelana-e-vivia-com-brasileira-em-sp.ghtml", "URL")</f>
        <v/>
      </c>
      <c r="K1835">
        <f>HYPERLINK("https://raw.githubusercontent.com/marcosmapl/dataset_imigrantes/main/noticias_filtered/g1/venezuelanos/2018/11_dez/html/g1_e638329e-2317-11ed-b24f-6dbe51e79fca_3233.html", "HTML")</f>
        <v/>
      </c>
      <c r="L1835">
        <f>HYPERLINK("https://raw.githubusercontent.com/marcosmapl/dataset_imigrantes/main/noticias_filtered/g1/venezuelanos/2018/11_dez/txt/g1_e638329e-2317-11ed-b24f-6dbe51e79fca_3233.txt", "TXT")</f>
        <v/>
      </c>
    </row>
    <row r="1836">
      <c r="A1836" s="1" t="n">
        <v>1834</v>
      </c>
      <c r="B1836" t="n">
        <v>2018</v>
      </c>
      <c r="C1836" s="2" t="n">
        <v>43441.72166135417</v>
      </c>
      <c r="D1836" t="inlineStr">
        <is>
          <t>G1</t>
        </is>
      </c>
      <c r="E1836" t="inlineStr">
        <is>
          <t>HAITIANOS</t>
        </is>
      </c>
      <c r="F1836" t="inlineStr">
        <is>
          <t>DISTRITO FEDERAL</t>
        </is>
      </c>
      <c r="G1836" t="inlineStr">
        <is>
          <t>MARÍLIA MARQUES E BIANCA MARINHO, G1 DF E TV GLOBO</t>
        </is>
      </c>
      <c r="H1836" t="inlineStr">
        <is>
          <t>IMIGRANTE CEGA QUE SOBREVIVEU A  TERREMOTO NO HAITI RECEBE CARTEIRA DA OAB NO DF</t>
        </is>
      </c>
      <c r="I1836" t="inlineStr">
        <is>
          <t>'VOU CHEGAR AINDA MAIS LONGE', DISSE NADINE, QUE CHEGOU AO BRASIL EM 2013. CERIMÔNIA DE REGISTRO DA ADVOGADA FOI NESTA SEXTA-FEIRA.</t>
        </is>
      </c>
      <c r="J1836">
        <f>HYPERLINK("https://g1.globo.com/df/distrito-federal/noticia/2018/12/07/imigrante-cega-que-sobreviveu-a-terremoto-no-haiti-recebe-carteira-da-oab-no-df.ghtml", "URL")</f>
        <v/>
      </c>
      <c r="K1836">
        <f>HYPERLINK("https://raw.githubusercontent.com/marcosmapl/dataset_imigrantes/main/noticias_filtered/g1/haitianos/2018/11_dez/html/g1_e3723806-2309-11ed-b24f-6dbe51e79fca_2471.html", "HTML")</f>
        <v/>
      </c>
      <c r="L1836">
        <f>HYPERLINK("https://raw.githubusercontent.com/marcosmapl/dataset_imigrantes/main/noticias_filtered/g1/haitianos/2018/11_dez/txt/g1_e3723806-2309-11ed-b24f-6dbe51e79fca_2471.txt", "TXT")</f>
        <v/>
      </c>
    </row>
    <row r="1837">
      <c r="A1837" s="1" t="n">
        <v>1835</v>
      </c>
      <c r="B1837" t="n">
        <v>2018</v>
      </c>
      <c r="C1837" s="2" t="n">
        <v>43440.82391974537</v>
      </c>
      <c r="D1837" t="inlineStr">
        <is>
          <t>G1</t>
        </is>
      </c>
      <c r="E1837" t="inlineStr">
        <is>
          <t>VENEZUELANOS</t>
        </is>
      </c>
      <c r="F1837" t="inlineStr">
        <is>
          <t>MUNDO</t>
        </is>
      </c>
      <c r="G1837" t="inlineStr">
        <is>
          <t>FRANCE PRESSE</t>
        </is>
      </c>
      <c r="H1837" t="inlineStr">
        <is>
          <t>DESACREDITADOS, VENEZUELANOS ELEGEM VEREADORES NO DOMINGO</t>
        </is>
      </c>
      <c r="I1837" t="inlineStr">
        <is>
          <t>CHAVISMO SE PREPARA PARA AMPLIAR SEU CONTROLE NAS REGIÕES COM A ELEIÇÃO DE 335 CONSELHOS;  OPOSIÇÃO CONTROLA ATUALMENTE 80 ASSEMBLEIAS MUNICIPAIS. EXPECTATIVA É DE ÍNDICE HISTÓRICO DE ABSTENÇÃO.</t>
        </is>
      </c>
      <c r="J1837">
        <f>HYPERLINK("https://g1.globo.com/mundo/noticia/2018/12/06/desacreditados-venezuelanos-elegem-vereadores-no-domingo.ghtml", "URL")</f>
        <v/>
      </c>
      <c r="K1837">
        <f>HYPERLINK("https://raw.githubusercontent.com/marcosmapl/dataset_imigrantes/main/noticias_filtered/g1/venezuelanos/2018/11_dez/html/g1_871c8fb2-2326-11ed-b24f-6dbe51e79fca_3982.html", "HTML")</f>
        <v/>
      </c>
      <c r="L1837">
        <f>HYPERLINK("https://raw.githubusercontent.com/marcosmapl/dataset_imigrantes/main/noticias_filtered/g1/venezuelanos/2018/11_dez/txt/g1_871c8fb2-2326-11ed-b24f-6dbe51e79fca_3982.txt", "TXT")</f>
        <v/>
      </c>
    </row>
    <row r="1838">
      <c r="A1838" s="1" t="n">
        <v>1836</v>
      </c>
      <c r="B1838" t="n">
        <v>2018</v>
      </c>
      <c r="C1838" s="2" t="n">
        <v>43440.50144675926</v>
      </c>
      <c r="D1838" t="inlineStr">
        <is>
          <t>A CRITICA</t>
        </is>
      </c>
      <c r="E1838" t="inlineStr">
        <is>
          <t>VENEZUELANOS</t>
        </is>
      </c>
      <c r="F1838" t="inlineStr"/>
      <c r="G1838" t="inlineStr">
        <is>
          <t>MAIANA DINIZ (AGÊNCIA BRASIL)</t>
        </is>
      </c>
      <c r="H1838" t="inlineStr">
        <is>
          <t>METADE DOS VENEZUELANOS QUE ENTRAM NO BRASIL ACABA VOLTANDO AO PAÍS DE ORIGEM</t>
        </is>
      </c>
      <c r="I1838" t="inlineStr">
        <is>
          <t>SEGUNDO A CASA CIVIL, ATUALMENTE HÁ 5.723 VENEZUELANOS ACOLHIDOS NOS 13 ABRIGOS CONSTRUÍDOS PELO GOVERNO FEDERAL EM RORAIMA E GERIDOS PELA ONU</t>
        </is>
      </c>
      <c r="J1838">
        <f>HYPERLINK("https://www.acritica.com/metade-dos-venezuelanos-que-entram-no-brasil-acaba-voltando-ao-pais-de-origem-1.82489", "URL")</f>
        <v/>
      </c>
      <c r="K1838">
        <f>HYPERLINK("https://raw.githubusercontent.com/marcosmapl/dataset_imigrantes/main/noticias_filtered/a_critica/venezuelanos/2018/11_dez/html/1.82489_572.html", "HTML")</f>
        <v/>
      </c>
      <c r="L1838">
        <f>HYPERLINK("https://raw.githubusercontent.com/marcosmapl/dataset_imigrantes/main/noticias_filtered/a_critica/venezuelanos/2018/11_dez/txt/1.82489_572.txt", "TXT")</f>
        <v/>
      </c>
    </row>
    <row r="1839">
      <c r="A1839" s="1" t="n">
        <v>1837</v>
      </c>
      <c r="B1839" t="n">
        <v>2018</v>
      </c>
      <c r="C1839" s="2" t="n">
        <v>43439.9396305787</v>
      </c>
      <c r="D1839" t="inlineStr">
        <is>
          <t>G1</t>
        </is>
      </c>
      <c r="E1839" t="inlineStr">
        <is>
          <t>VENEZUELANOS</t>
        </is>
      </c>
      <c r="F1839" t="inlineStr">
        <is>
          <t>REGIÃO DOS LAGOS</t>
        </is>
      </c>
      <c r="G1839" t="inlineStr">
        <is>
          <t>G1 — REGIÃO DOS LAGOS</t>
        </is>
      </c>
      <c r="H1839" t="inlineStr">
        <is>
          <t>POLÍCIA FEDERAL PRENDE EM CABO FRIO, RJ, VENEZUELANO QUE FALSIFICAVA DOCUMENTOS DE IMIGRAÇÃO</t>
        </is>
      </c>
      <c r="I1839" t="inlineStr">
        <is>
          <t>COM O PRESO FORAM ENCONTRADOS VÁRIOS PROTOCOLOS EM BRANCO E AINDA CERTIDÕES DE ANTECEDENTES DA VENEZUELA JÁ CARIMBADAS, DE ACORDO COM OS AGENTES.</t>
        </is>
      </c>
      <c r="J1839">
        <f>HYPERLINK("https://g1.globo.com/rj/regiao-dos-lagos/noticia/2018/12/05/policia-federal-prende-em-cabo-frio-rj-venezuelano-que-falsificava-documentos-de-imigracao.ghtml", "URL")</f>
        <v/>
      </c>
      <c r="K1839">
        <f>HYPERLINK("https://raw.githubusercontent.com/marcosmapl/dataset_imigrantes/main/noticias_filtered/g1/venezuelanos/2018/11_dez/html/g1_8f563df6-2310-11ed-b24f-6dbe51e79fca_2863.html", "HTML")</f>
        <v/>
      </c>
      <c r="L1839">
        <f>HYPERLINK("https://raw.githubusercontent.com/marcosmapl/dataset_imigrantes/main/noticias_filtered/g1/venezuelanos/2018/11_dez/txt/g1_8f563df6-2310-11ed-b24f-6dbe51e79fca_2863.txt", "TXT")</f>
        <v/>
      </c>
    </row>
    <row r="1840">
      <c r="A1840" s="1" t="n">
        <v>1838</v>
      </c>
      <c r="B1840" t="n">
        <v>2018</v>
      </c>
      <c r="C1840" s="2" t="n">
        <v>43439.58146975694</v>
      </c>
      <c r="D1840" t="inlineStr">
        <is>
          <t>G1</t>
        </is>
      </c>
      <c r="E1840" t="inlineStr">
        <is>
          <t>VENEZUELANOS</t>
        </is>
      </c>
      <c r="F1840" t="inlineStr">
        <is>
          <t>PARÁ</t>
        </is>
      </c>
      <c r="G1840" t="inlineStr">
        <is>
          <t>G1 PA — BELÉM</t>
        </is>
      </c>
      <c r="H1840" t="inlineStr">
        <is>
          <t>SITUAÇÃO DE CRIANÇAS VENEZUELANAS NAS RUAS PREOCUPA AUTORIDADES EM CASTANHAL</t>
        </is>
      </c>
      <c r="I1840" t="inlineStr">
        <is>
          <t>HÁ 20 DIAS, UM GRUPO DE 40 REFUGIADOS CHEGOU AO MUNICÍPIO. ELES FICAM NAS CALÇADAS DO CENTRO COMERCIAL VIVENDO COMO MENDIGOS.</t>
        </is>
      </c>
      <c r="J1840">
        <f>HYPERLINK("https://g1.globo.com/pa/para/noticia/2018/12/05/situacao-de-criancas-venezuelanas-nas-ruas-preocupa-autoridades-em-castanhal.ghtml", "URL")</f>
        <v/>
      </c>
      <c r="K1840">
        <f>HYPERLINK("https://raw.githubusercontent.com/marcosmapl/dataset_imigrantes/main/noticias_filtered/g1/venezuelanos/2018/11_dez/html/g1_204fbebc-2308-11ed-b24f-6dbe51e79fca_2366.html", "HTML")</f>
        <v/>
      </c>
      <c r="L1840">
        <f>HYPERLINK("https://raw.githubusercontent.com/marcosmapl/dataset_imigrantes/main/noticias_filtered/g1/venezuelanos/2018/11_dez/txt/g1_204fbebc-2308-11ed-b24f-6dbe51e79fca_2366.txt", "TXT")</f>
        <v/>
      </c>
    </row>
    <row r="1841">
      <c r="A1841" s="1" t="n">
        <v>1839</v>
      </c>
      <c r="B1841" t="n">
        <v>2018</v>
      </c>
      <c r="C1841" s="2" t="n">
        <v>43438.61616475695</v>
      </c>
      <c r="D1841" t="inlineStr">
        <is>
          <t>G1</t>
        </is>
      </c>
      <c r="E1841" t="inlineStr">
        <is>
          <t>HAITIANOS</t>
        </is>
      </c>
      <c r="F1841" t="inlineStr">
        <is>
          <t>ACRE</t>
        </is>
      </c>
      <c r="G1841" t="inlineStr">
        <is>
          <t>TÁCITA MUNIZ , G1 AC — RIO BRANCO</t>
        </is>
      </c>
      <c r="H1841" t="inlineStr">
        <is>
          <t>EM LIVRO, ESTUDANTE ANALISA MIGRAÇÃO DE HAITIANOS QUE USARAM O ACRE COMO ROTA DE REFÚGIO</t>
        </is>
      </c>
      <c r="I1841" t="inlineStr">
        <is>
          <t>ANNE CAROLINE SE FORMOU EM GEOGRAFIA PELA UFAC E ESTUDOU O FENÔMENO MIGRATÓRIO DURANTE UM ANO. LIVRO FOI LANÇADO EM EDITORA ONLINE.</t>
        </is>
      </c>
      <c r="J1841">
        <f>HYPERLINK("https://g1.globo.com/ac/acre/noticia/2018/12/04/em-livro-estudante-analisa-migracao-de-haitianos-que-usaram-o-acre-como-rota-de-refugio.ghtml", "URL")</f>
        <v/>
      </c>
      <c r="K1841">
        <f>HYPERLINK("https://raw.githubusercontent.com/marcosmapl/dataset_imigrantes/main/noticias_filtered/g1/haitianos/2018/11_dez/html/g1_aa80272e-22f0-11ed-b24f-6dbe51e79fca_1714.html", "HTML")</f>
        <v/>
      </c>
      <c r="L1841">
        <f>HYPERLINK("https://raw.githubusercontent.com/marcosmapl/dataset_imigrantes/main/noticias_filtered/g1/haitianos/2018/11_dez/txt/g1_aa80272e-22f0-11ed-b24f-6dbe51e79fca_1714.txt", "TXT")</f>
        <v/>
      </c>
    </row>
    <row r="1842">
      <c r="A1842" s="1" t="n">
        <v>1840</v>
      </c>
      <c r="B1842" t="n">
        <v>2018</v>
      </c>
      <c r="C1842" s="2" t="n">
        <v>43438.48450231482</v>
      </c>
      <c r="D1842" t="inlineStr">
        <is>
          <t>A CRITICA</t>
        </is>
      </c>
      <c r="E1842" t="inlineStr">
        <is>
          <t>VENEZUELANOS</t>
        </is>
      </c>
      <c r="F1842" t="inlineStr"/>
      <c r="G1842" t="inlineStr">
        <is>
          <t>AGÊNCIA BRASIL</t>
        </is>
      </c>
      <c r="H1842" t="inlineStr">
        <is>
          <t>BRASIL DOA R$ 15 MILHÕES A ENTIDADES INTERNACIONAIS VOLTADAS A MIGRAÇÃO</t>
        </is>
      </c>
      <c r="I1842" t="inlineStr">
        <is>
          <t>DINHEIRO VAI PARA O ACNUR E A OIM, QUE SE DESTINAM A ACOLHER PESSOAS EM SITUAÇÃO DE VULNERABILIDADE EM DECORRÊNCIA DO FLUXO MIGRATÓRIO</t>
        </is>
      </c>
      <c r="J1842">
        <f>HYPERLINK("https://www.acritica.com/brasil-doa-r-15-milh-es-a-entidades-internacionais-voltadas-a-migrac-o-1.83223", "URL")</f>
        <v/>
      </c>
      <c r="K1842">
        <f>HYPERLINK("https://raw.githubusercontent.com/marcosmapl/dataset_imigrantes/main/noticias_filtered/a_critica/venezuelanos/2018/11_dez/html/1.83223_946.html", "HTML")</f>
        <v/>
      </c>
      <c r="L1842">
        <f>HYPERLINK("https://raw.githubusercontent.com/marcosmapl/dataset_imigrantes/main/noticias_filtered/a_critica/venezuelanos/2018/11_dez/txt/1.83223_946.txt", "TXT")</f>
        <v/>
      </c>
    </row>
    <row r="1843">
      <c r="A1843" s="1" t="n">
        <v>1841</v>
      </c>
      <c r="B1843" t="n">
        <v>2018</v>
      </c>
      <c r="C1843" s="2" t="n">
        <v>43437.63611111111</v>
      </c>
      <c r="D1843" t="inlineStr">
        <is>
          <t>A CRITICA</t>
        </is>
      </c>
      <c r="E1843" t="inlineStr">
        <is>
          <t>HAITIANOS</t>
        </is>
      </c>
      <c r="F1843" t="inlineStr"/>
      <c r="G1843" t="inlineStr">
        <is>
          <t>ANDREIA VERDÉLIO - AGÊNCIA BRASIL</t>
        </is>
      </c>
      <c r="H1843" t="inlineStr">
        <is>
          <t>23% DOS JOVENS BRASILEIROS NÃO TRABALHAM E NEM ESTUDAM, DIZ IPEA</t>
        </is>
      </c>
      <c r="I1843" t="inlineStr">
        <is>
          <t>AS RAZÕES PARA ESSE CENÁRIO SÃO PROBLEMAS COM HABILIDADES COGNITIVAS E SOCIOEMOCIONAIS, FALTA DE POLÍTICAS PÚBLICAS, OBRIGAÇÕES FAMILIARES COM PARENTES E FILHOS, ENTRE OUTROS</t>
        </is>
      </c>
      <c r="J1843">
        <f>HYPERLINK("https://www.acritica.com/23-dos-jovens-brasileiros-n-o-trabalham-e-nem-estudam-diz-ipea-1.83622", "URL")</f>
        <v/>
      </c>
      <c r="K1843">
        <f>HYPERLINK("https://raw.githubusercontent.com/marcosmapl/dataset_imigrantes/main/noticias_filtered/a_critica/haitianos/2018/11_dez/html/1.83622_953.html", "HTML")</f>
        <v/>
      </c>
      <c r="L1843">
        <f>HYPERLINK("https://raw.githubusercontent.com/marcosmapl/dataset_imigrantes/main/noticias_filtered/a_critica/haitianos/2018/11_dez/txt/1.83622_953.txt", "TXT")</f>
        <v/>
      </c>
    </row>
    <row r="1844">
      <c r="A1844" s="1" t="n">
        <v>1842</v>
      </c>
      <c r="B1844" t="n">
        <v>2018</v>
      </c>
      <c r="C1844" s="2" t="n">
        <v>43437.51521081018</v>
      </c>
      <c r="D1844" t="inlineStr">
        <is>
          <t>G1</t>
        </is>
      </c>
      <c r="E1844" t="inlineStr">
        <is>
          <t>HAITIANOS</t>
        </is>
      </c>
      <c r="F1844" t="inlineStr">
        <is>
          <t>DISTRITO FEDERAL</t>
        </is>
      </c>
      <c r="G1844" t="inlineStr">
        <is>
          <t>BBC</t>
        </is>
      </c>
      <c r="H1844" t="inlineStr">
        <is>
          <t>IMIGRANTE HAITIANA CEGA QUE SOBREVIVEU A '2 TERREMOTOS' É APROVADA NA OAB, QUER SE NATURALIZAR BRASILEIRA E VIRAR JUÍZA</t>
        </is>
      </c>
      <c r="I1844" t="inlineStr">
        <is>
          <t>ENTREVISTADA PELA BBC NEWS BRASIL EM 2013 EM UM ABRIGO SUPERLOTADO NO ACRE, NADINE TALEIS SUPEROU LIMITAÇÕES FÍSICAS E FINANCEIRAS PARA SE FORMAR EM DIREITO E AGORA SE PREPARA PARA CONCURSOS PÚBLICOS CONCORRIDOS.</t>
        </is>
      </c>
      <c r="J1844">
        <f>HYPERLINK("https://g1.globo.com/df/distrito-federal/noticia/2018/12/03/imigrante-haitiana-cega-que-sobreviveu-a-2-terremotos-e-aprovada-na-oab-quer-se-naturalizar-brasileira-e-virar-juiza.ghtml", "URL")</f>
        <v/>
      </c>
      <c r="K1844">
        <f>HYPERLINK("https://raw.githubusercontent.com/marcosmapl/dataset_imigrantes/main/noticias_filtered/g1/haitianos/2018/11_dez/html/g1_53121760-231b-11ed-b24f-6dbe51e79fca_3379.html", "HTML")</f>
        <v/>
      </c>
      <c r="L1844">
        <f>HYPERLINK("https://raw.githubusercontent.com/marcosmapl/dataset_imigrantes/main/noticias_filtered/g1/haitianos/2018/11_dez/txt/g1_53121760-231b-11ed-b24f-6dbe51e79fca_3379.txt", "TXT")</f>
        <v/>
      </c>
    </row>
    <row r="1845">
      <c r="A1845" s="1" t="n">
        <v>1843</v>
      </c>
      <c r="B1845" t="n">
        <v>2018</v>
      </c>
      <c r="C1845" s="2" t="n">
        <v>43436.65636682871</v>
      </c>
      <c r="D1845" t="inlineStr">
        <is>
          <t>G1</t>
        </is>
      </c>
      <c r="E1845" t="inlineStr">
        <is>
          <t>HAITIANOS</t>
        </is>
      </c>
      <c r="F1845" t="inlineStr">
        <is>
          <t>SÃO CARLOS E ARARAQUARA</t>
        </is>
      </c>
      <c r="G1845" t="inlineStr">
        <is>
          <t>EPTV1</t>
        </is>
      </c>
      <c r="H1845" t="inlineStr">
        <is>
          <t>COMUNIDADE HAITIANA ARRECADA ALIMENTOS PARA MONTAR 100 CESTAS DE NATAL EM RIO CLARO</t>
        </is>
      </c>
      <c r="I1845" t="inlineStr">
        <is>
          <t>OBJETIVO É GARANTIR A CEIA DOS IMIGRANTES QUE MORAM NA CIDADE.</t>
        </is>
      </c>
      <c r="J1845">
        <f>HYPERLINK("https://g1.globo.com/sp/sao-carlos-regiao/noticia/2018/12/02/comunidade-haitiana-arrecada-alimentos-para-montar-100-cestas-de-natal-em-rio-claro.ghtml", "URL")</f>
        <v/>
      </c>
      <c r="K1845">
        <f>HYPERLINK("https://raw.githubusercontent.com/marcosmapl/dataset_imigrantes/main/noticias_filtered/g1/haitianos/2018/11_dez/html/g1_36466be4-231c-11ed-b24f-6dbe51e79fca_3434.html", "HTML")</f>
        <v/>
      </c>
      <c r="L1845">
        <f>HYPERLINK("https://raw.githubusercontent.com/marcosmapl/dataset_imigrantes/main/noticias_filtered/g1/haitianos/2018/11_dez/txt/g1_36466be4-231c-11ed-b24f-6dbe51e79fca_3434.txt", "TXT")</f>
        <v/>
      </c>
    </row>
    <row r="1846">
      <c r="A1846" s="1" t="n">
        <v>1844</v>
      </c>
      <c r="B1846" t="n">
        <v>2018</v>
      </c>
      <c r="C1846" s="2" t="n">
        <v>43434.81861747685</v>
      </c>
      <c r="D1846" t="inlineStr">
        <is>
          <t>G1</t>
        </is>
      </c>
      <c r="E1846" t="inlineStr">
        <is>
          <t>AMBOS</t>
        </is>
      </c>
      <c r="F1846" t="inlineStr">
        <is>
          <t>MATO GROSSO</t>
        </is>
      </c>
      <c r="G1846" t="inlineStr">
        <is>
          <t>G1 MT</t>
        </is>
      </c>
      <c r="H1846" t="inlineStr">
        <is>
          <t>VOLUNTÁRIOS ARRECADAM ALIMENTOS PARA DOAR ÀS FAMÍLIAS DE HAITIANOS E VENEZUELANOS NO NATAL EM CUIABÁ</t>
        </is>
      </c>
      <c r="I1846" t="inlineStr">
        <is>
          <t>CERCA DE 250 FAMÍLIAS DEVEM SER BENEFICIADAS COM A AÇÃO. ALÉM DE ALIMENTOS, O GRUPO ESTÁ ARRECADANDO PRODUTOS DE LIMPEZA, BRINQUEDOS E ROUPAS.</t>
        </is>
      </c>
      <c r="J1846">
        <f>HYPERLINK("https://g1.globo.com/mt/mato-grosso/noticia/2018/11/30/voluntarios-arrecadam-alimentos-para-doar-as-familias-de-haitianos-e-venezuelanos-no-natal-em-cuiaba.ghtml", "URL")</f>
        <v/>
      </c>
      <c r="K1846">
        <f>HYPERLINK("https://raw.githubusercontent.com/marcosmapl/dataset_imigrantes/main/noticias_filtered/g1/ambos/2018/10_nov/html/g1_ede52b6e-22f9-11ed-b24f-6dbe51e79fca_2192.html", "HTML")</f>
        <v/>
      </c>
      <c r="L1846">
        <f>HYPERLINK("https://raw.githubusercontent.com/marcosmapl/dataset_imigrantes/main/noticias_filtered/g1/ambos/2018/10_nov/txt/g1_ede52b6e-22f9-11ed-b24f-6dbe51e79fca_2192.txt", "TXT")</f>
        <v/>
      </c>
    </row>
    <row r="1847">
      <c r="A1847" s="1" t="n">
        <v>1845</v>
      </c>
      <c r="B1847" t="n">
        <v>2018</v>
      </c>
      <c r="C1847" s="2" t="n">
        <v>43433.52291666667</v>
      </c>
      <c r="D1847" t="inlineStr">
        <is>
          <t>A CRITICA</t>
        </is>
      </c>
      <c r="E1847" t="inlineStr">
        <is>
          <t>VENEZUELANOS</t>
        </is>
      </c>
      <c r="F1847" t="inlineStr">
        <is>
          <t>MANAUS</t>
        </is>
      </c>
      <c r="G1847" t="inlineStr">
        <is>
          <t>AMANDA GUIMARÃES</t>
        </is>
      </c>
      <c r="H1847" t="inlineStr">
        <is>
          <t>APÓS AVIÃO DERRAPAR EM ATERRISSAGEM, PISTA DO AEROPORTO DE MANAUS É LIBERADA</t>
        </is>
      </c>
      <c r="I1847" t="inlineStr">
        <is>
          <t>SEGUNDO A INFRAERO, O AEROPORTO FICOU RECEBENDO APENAS VOOS DE PEQUENO. AO TODO, QUATRO VOOS COMERCIAIS FORAM CANCELADOS</t>
        </is>
      </c>
      <c r="J1847">
        <f>HYPERLINK("https://www.acritica.com/manaus/apos-avi-o-derrapar-em-aterrissagem-pista-do-aeroporto-de-manaus-e-liberada-1.83900", "URL")</f>
        <v/>
      </c>
      <c r="K1847">
        <f>HYPERLINK("https://raw.githubusercontent.com/marcosmapl/dataset_imigrantes/main/noticias_filtered/a_critica/venezuelanos/2018/10_nov/html/1.83900_343.html", "HTML")</f>
        <v/>
      </c>
      <c r="L1847">
        <f>HYPERLINK("https://raw.githubusercontent.com/marcosmapl/dataset_imigrantes/main/noticias_filtered/a_critica/venezuelanos/2018/10_nov/txt/1.83900_343.txt", "TXT")</f>
        <v/>
      </c>
    </row>
    <row r="1848">
      <c r="A1848" s="1" t="n">
        <v>1846</v>
      </c>
      <c r="B1848" t="n">
        <v>2018</v>
      </c>
      <c r="C1848" s="2" t="n">
        <v>43432.95</v>
      </c>
      <c r="D1848" t="inlineStr">
        <is>
          <t>A CRITICA</t>
        </is>
      </c>
      <c r="E1848" t="inlineStr">
        <is>
          <t>VENEZUELANOS</t>
        </is>
      </c>
      <c r="F1848" t="inlineStr">
        <is>
          <t>MANAUS</t>
        </is>
      </c>
      <c r="G1848" t="inlineStr">
        <is>
          <t>ACRÍTICA.COM</t>
        </is>
      </c>
      <c r="H1848" t="inlineStr">
        <is>
          <t>AVIÃO SAI DA PISTA DURANTE ATERRISSAGEM EM AEROPORTO DE MANAUS E VOOS ATRASAM</t>
        </is>
      </c>
      <c r="I1848" t="inlineStr">
        <is>
          <t>O INCIDENTE OCORREU COM UMA AERONAVE DA EMPRESA VENEZUELANA AVIOR AIRLINES</t>
        </is>
      </c>
      <c r="J1848">
        <f>HYPERLINK("https://www.acritica.com/manaus/avi-o-sai-da-pista-durante-aterrissagem-em-aeroporto-de-manaus-e-voos-atrasam-1.83916", "URL")</f>
        <v/>
      </c>
      <c r="K1848">
        <f>HYPERLINK("https://raw.githubusercontent.com/marcosmapl/dataset_imigrantes/main/noticias_filtered/a_critica/venezuelanos/2018/10_nov/html/1.83916_592.html", "HTML")</f>
        <v/>
      </c>
      <c r="L1848">
        <f>HYPERLINK("https://raw.githubusercontent.com/marcosmapl/dataset_imigrantes/main/noticias_filtered/a_critica/venezuelanos/2018/10_nov/txt/1.83916_592.txt", "TXT")</f>
        <v/>
      </c>
    </row>
    <row r="1849">
      <c r="A1849" s="1" t="n">
        <v>1847</v>
      </c>
      <c r="B1849" t="n">
        <v>2018</v>
      </c>
      <c r="C1849" s="2" t="n">
        <v>43430.67464658565</v>
      </c>
      <c r="D1849" t="inlineStr">
        <is>
          <t>G1</t>
        </is>
      </c>
      <c r="E1849" t="inlineStr">
        <is>
          <t>AMBOS</t>
        </is>
      </c>
      <c r="F1849" t="inlineStr">
        <is>
          <t>RORAIMA</t>
        </is>
      </c>
      <c r="G1849" t="inlineStr">
        <is>
          <t>MARCELO MARQUES</t>
        </is>
      </c>
      <c r="H1849" t="inlineStr">
        <is>
          <t>ESTRANGEIROS SÃO PRESOS POR SUSPEITA DE TRÁFICO DE DROGAS EM BOA VISTA</t>
        </is>
      </c>
      <c r="I1849" t="inlineStr">
        <is>
          <t>UM HAITIANO FOI PRESO NO CENTRO E UM VENEZUELANO NO BAIRRO CAIMBÉ, ZONA OESTE DA CAPITAL.</t>
        </is>
      </c>
      <c r="J1849">
        <f>HYPERLINK("https://g1.globo.com/rr/roraima/noticia/2018/11/26/estrangeiros-sao-presos-por-suspeita-de-trafico-de-drogas-em-boa-vista.ghtml", "URL")</f>
        <v/>
      </c>
      <c r="K1849">
        <f>HYPERLINK("https://raw.githubusercontent.com/marcosmapl/dataset_imigrantes/main/noticias_filtered/g1/ambos/2018/10_nov/html/g1_9785f1ba-2306-11ed-b24f-6dbe51e79fca_2268.html", "HTML")</f>
        <v/>
      </c>
      <c r="L1849">
        <f>HYPERLINK("https://raw.githubusercontent.com/marcosmapl/dataset_imigrantes/main/noticias_filtered/g1/ambos/2018/10_nov/txt/g1_9785f1ba-2306-11ed-b24f-6dbe51e79fca_2268.txt", "TXT")</f>
        <v/>
      </c>
    </row>
    <row r="1850">
      <c r="A1850" s="1" t="n">
        <v>1848</v>
      </c>
      <c r="B1850" t="n">
        <v>2018</v>
      </c>
      <c r="C1850" s="2" t="n">
        <v>43430.43680555555</v>
      </c>
      <c r="D1850" t="inlineStr">
        <is>
          <t>PORTAL AMAZONIA</t>
        </is>
      </c>
      <c r="E1850" t="inlineStr">
        <is>
          <t>VENEZUELANOS</t>
        </is>
      </c>
      <c r="F1850" t="inlineStr">
        <is>
          <t>CIDADES</t>
        </is>
      </c>
      <c r="G1850" t="inlineStr">
        <is>
          <t>REDAÇÃO</t>
        </is>
      </c>
      <c r="H1850" t="inlineStr">
        <is>
          <t>GOVERNADOR ELEITO DE RORAIMA DIZ QUE SUA INTENÇÃO É AJUDAR VENEZUELANOS</t>
        </is>
      </c>
      <c r="I1850" t="inlineStr">
        <is>
          <t>O GOVERNADOR ELEITO DE RORAIMA, ANTONIO DENARIUM (PSL), AFIRMOU NESTE SÁBADO (24), EM NOTA PUBLICADA NAS REDES SOCIAIS, QUE DEFENDE O RETORNO DOS “VÁRIOS IRMÃOS” VENEZUELANOS E NÃO A DEVOLUÇÃO, COMO FOI INTERPRETADO POR ALGUNS SETORES DA IMPRENSA. À</t>
        </is>
      </c>
      <c r="J1850">
        <f>HYPERLINK("https://portalamazonia.com/noticias/cidades/governador-eleito-de-roraima-diz-que-sua-intencao-e-ajudar-venezuelanos", "URL")</f>
        <v/>
      </c>
      <c r="K1850">
        <f>HYPERLINK("https://raw.githubusercontent.com/marcosmapl/dataset_imigrantes/main/noticias_filtered/portal_amazonia/venezuelanos/2018/10_nov/html/16304.16304_1417.html", "HTML")</f>
        <v/>
      </c>
      <c r="L1850">
        <f>HYPERLINK("https://raw.githubusercontent.com/marcosmapl/dataset_imigrantes/main/noticias_filtered/portal_amazonia/venezuelanos/2018/10_nov/txt/16304.16304_1417.txt", "TXT")</f>
        <v/>
      </c>
    </row>
    <row r="1851">
      <c r="A1851" s="1" t="n">
        <v>1849</v>
      </c>
      <c r="B1851" t="n">
        <v>2018</v>
      </c>
      <c r="C1851" s="2" t="n">
        <v>43429.08043981482</v>
      </c>
      <c r="D1851" t="inlineStr">
        <is>
          <t>A CRITICA</t>
        </is>
      </c>
      <c r="E1851" t="inlineStr">
        <is>
          <t>VENEZUELANOS</t>
        </is>
      </c>
      <c r="F1851" t="inlineStr">
        <is>
          <t>ESPORTES</t>
        </is>
      </c>
      <c r="G1851" t="inlineStr">
        <is>
          <t>CAMILA LEONEL</t>
        </is>
      </c>
      <c r="H1851" t="inlineStr">
        <is>
          <t>VENEZUELANOS EM MANAUS GANHAM INGRESSOS E ASSISTEM JOGO DA LIBERTADORES</t>
        </is>
      </c>
      <c r="I1851" t="inlineStr">
        <is>
          <t>COM APOIO DA CÁRITAS, CERCA DE 50 PESSOAS ACOMPANHARAM A VITÓRIA DO VENEZUELANO FLOR DE PATRIA SOBRE O CERRO PORTEÑO NESTE SÁBADO (24). ALGUNS ESTIVERAM NA ARENA DA AMAZÔNIA PELA PRIMEIRA VEZ</t>
        </is>
      </c>
      <c r="J1851">
        <f>HYPERLINK("https://www.acritica.com/esportes/venezuelanos-em-manaus-ganham-ingressos-e-assistem-jogo-da-libertadores-1.84200", "URL")</f>
        <v/>
      </c>
      <c r="K1851">
        <f>HYPERLINK("https://raw.githubusercontent.com/marcosmapl/dataset_imigrantes/main/noticias_filtered/a_critica/venezuelanos/2018/10_nov/html/1.84200_218.html", "HTML")</f>
        <v/>
      </c>
      <c r="L1851">
        <f>HYPERLINK("https://raw.githubusercontent.com/marcosmapl/dataset_imigrantes/main/noticias_filtered/a_critica/venezuelanos/2018/10_nov/txt/1.84200_218.txt", "TXT")</f>
        <v/>
      </c>
    </row>
    <row r="1852">
      <c r="A1852" s="1" t="n">
        <v>1850</v>
      </c>
      <c r="B1852" t="n">
        <v>2018</v>
      </c>
      <c r="C1852" s="2" t="n">
        <v>43429.05625</v>
      </c>
      <c r="D1852" t="inlineStr">
        <is>
          <t>A CRITICA</t>
        </is>
      </c>
      <c r="E1852" t="inlineStr">
        <is>
          <t>VENEZUELANOS</t>
        </is>
      </c>
      <c r="F1852" t="inlineStr">
        <is>
          <t>ESPORTES</t>
        </is>
      </c>
      <c r="G1852" t="inlineStr">
        <is>
          <t>PAULO ANDRÉ NUNES</t>
        </is>
      </c>
      <c r="H1852" t="inlineStr">
        <is>
          <t>CERRO PORTEÑO PERDE PARA VENEZUELANAS E IRANDUBA AVANÇA À 2ª FASE DA LIBERTADORES</t>
        </is>
      </c>
      <c r="I1852" t="inlineStr">
        <is>
          <t>EQUIPE BARÉ PRECISAVA DO TROPEÇO DAS PARAGUAIAS DIANTE DO FLOR DE PATRIA PARA SEGUIR VIVA NA COMPETIÇÃO. HULK AGUARDA JOGOS DESTE DOMINGO (25) PARA CONHECER ADVERSÁRIO DA SEMIFINAL</t>
        </is>
      </c>
      <c r="J1852">
        <f>HYPERLINK("https://www.acritica.com/esportes/cerro-porte-o-perde-para-venezuelanas-e-iranduba-avanca-a-2-fase-da-libertadores-1.84202", "URL")</f>
        <v/>
      </c>
      <c r="K1852">
        <f>HYPERLINK("https://raw.githubusercontent.com/marcosmapl/dataset_imigrantes/main/noticias_filtered/a_critica/venezuelanos/2018/10_nov/html/1.84202_935.html", "HTML")</f>
        <v/>
      </c>
      <c r="L1852">
        <f>HYPERLINK("https://raw.githubusercontent.com/marcosmapl/dataset_imigrantes/main/noticias_filtered/a_critica/venezuelanos/2018/10_nov/txt/1.84202_935.txt", "TXT")</f>
        <v/>
      </c>
    </row>
    <row r="1853">
      <c r="A1853" s="1" t="n">
        <v>1851</v>
      </c>
      <c r="B1853" t="n">
        <v>2018</v>
      </c>
      <c r="C1853" s="2" t="n">
        <v>43428.83434027778</v>
      </c>
      <c r="D1853" t="inlineStr">
        <is>
          <t>A CRITICA</t>
        </is>
      </c>
      <c r="E1853" t="inlineStr">
        <is>
          <t>VENEZUELANOS</t>
        </is>
      </c>
      <c r="F1853" t="inlineStr"/>
      <c r="G1853" t="inlineStr">
        <is>
          <t>ACRÍTICA.COM</t>
        </is>
      </c>
      <c r="H1853" t="inlineStr">
        <is>
          <t>JAIR BOLSONARO AFIRMA QUE BANCADA EVANGÉLICA É IMPORTANTE PARA O BRASIL</t>
        </is>
      </c>
      <c r="I1853" t="inlineStr">
        <is>
          <t>DECLARAÇÃO FOI DADA EM RESPOSTA SOBRE A POSSÍVEL PRESSÃO QUE RECEBEU DOS RELIGIOSOS PARA A INDICAÇÃO DO FUTURO MINISTRO DA EDUCAÇÃO</t>
        </is>
      </c>
      <c r="J1853">
        <f>HYPERLINK("https://www.acritica.com/jair-bolsonaro-afirma-que-bancada-evangelica-e-importante-para-o-brasil-1.84206", "URL")</f>
        <v/>
      </c>
      <c r="K1853">
        <f>HYPERLINK("https://raw.githubusercontent.com/marcosmapl/dataset_imigrantes/main/noticias_filtered/a_critica/venezuelanos/2018/10_nov/html/1.84206_1175.html", "HTML")</f>
        <v/>
      </c>
      <c r="L1853">
        <f>HYPERLINK("https://raw.githubusercontent.com/marcosmapl/dataset_imigrantes/main/noticias_filtered/a_critica/venezuelanos/2018/10_nov/txt/1.84206_1175.txt", "TXT")</f>
        <v/>
      </c>
    </row>
    <row r="1854">
      <c r="A1854" s="1" t="n">
        <v>1852</v>
      </c>
      <c r="B1854" t="n">
        <v>2018</v>
      </c>
      <c r="C1854" s="2" t="n">
        <v>43428.80295138889</v>
      </c>
      <c r="D1854" t="inlineStr">
        <is>
          <t>A CRITICA</t>
        </is>
      </c>
      <c r="E1854" t="inlineStr">
        <is>
          <t>VENEZUELANOS</t>
        </is>
      </c>
      <c r="F1854" t="inlineStr"/>
      <c r="G1854" t="inlineStr">
        <is>
          <t>DOUGLAS CORREA (AGÊNCIA BRASIL)</t>
        </is>
      </c>
      <c r="H1854" t="inlineStr">
        <is>
          <t>JAIR BOLSONARO COGITA CRIAÇÃO DE CAMPO DE REFUGIADOS PARA VENEZUELANOS</t>
        </is>
      </c>
      <c r="I1854" t="inlineStr">
        <is>
          <t>O PRESIDENTE ELEITO SE MOSTROU CONTRÁRIO À PROPOSTA DO GOVERNADOR ELEITO DE RORAIMA, ANTONIO DENARIUM (PSL), QUE DEFENDE A DEVOLUÇÃO DE VENEZUELANOS PARA O PAÍS NATAL</t>
        </is>
      </c>
      <c r="J1854">
        <f>HYPERLINK("https://www.acritica.com/jair-bolsonaro-cogita-criac-o-de-campo-de-refugiados-para-venezuelanos-1.84208", "URL")</f>
        <v/>
      </c>
      <c r="K1854">
        <f>HYPERLINK("https://raw.githubusercontent.com/marcosmapl/dataset_imigrantes/main/noticias_filtered/a_critica/venezuelanos/2018/10_nov/html/1.84208_469.html", "HTML")</f>
        <v/>
      </c>
      <c r="L1854">
        <f>HYPERLINK("https://raw.githubusercontent.com/marcosmapl/dataset_imigrantes/main/noticias_filtered/a_critica/venezuelanos/2018/10_nov/txt/1.84208_469.txt", "TXT")</f>
        <v/>
      </c>
    </row>
    <row r="1855">
      <c r="A1855" s="1" t="n">
        <v>1853</v>
      </c>
      <c r="B1855" t="n">
        <v>2018</v>
      </c>
      <c r="C1855" s="2" t="n">
        <v>43428.49543579861</v>
      </c>
      <c r="D1855" t="inlineStr">
        <is>
          <t>G1</t>
        </is>
      </c>
      <c r="E1855" t="inlineStr">
        <is>
          <t>VENEZUELANOS</t>
        </is>
      </c>
      <c r="F1855" t="inlineStr">
        <is>
          <t>RORAIMA</t>
        </is>
      </c>
      <c r="G1855" t="inlineStr">
        <is>
          <t>JACKSON FÉLIX, G1 RR — BOA VISTA</t>
        </is>
      </c>
      <c r="H1855" t="inlineStr">
        <is>
          <t>VENEZUELANO DE 19 ANOS ENCARA IDIOMA E TENTA VAGA NO VESTIBULAR DA UFRR PARA ENFERMAGEM: 'ME ESFORÇANDO'</t>
        </is>
      </c>
      <c r="I1855" t="inlineStr">
        <is>
          <t>ANDER GUERRA, DE 19 ANOS, PRESTA O VESTIBULAR NESTE DOMINGO (25). ENFERMAGEM É O 3º CURSO MAIS CONCORRIDO DA INSTITUIÇÃO.</t>
        </is>
      </c>
      <c r="J1855">
        <f>HYPERLINK("https://g1.globo.com/rr/roraima/noticia/2018/11/24/venezuelano-de-19-anos-encara-idioma-e-tenta-vaga-no-vestibular-da-ufrr-para-enfermagem-me-esforcando.ghtml", "URL")</f>
        <v/>
      </c>
      <c r="K1855">
        <f>HYPERLINK("https://raw.githubusercontent.com/marcosmapl/dataset_imigrantes/main/noticias_filtered/g1/venezuelanos/2018/10_nov/html/g1_6f066202-2323-11ed-b24f-6dbe51e79fca_3807.html", "HTML")</f>
        <v/>
      </c>
      <c r="L1855">
        <f>HYPERLINK("https://raw.githubusercontent.com/marcosmapl/dataset_imigrantes/main/noticias_filtered/g1/venezuelanos/2018/10_nov/txt/g1_6f066202-2323-11ed-b24f-6dbe51e79fca_3807.txt", "TXT")</f>
        <v/>
      </c>
    </row>
    <row r="1856">
      <c r="A1856" s="1" t="n">
        <v>1854</v>
      </c>
      <c r="B1856" t="n">
        <v>2018</v>
      </c>
      <c r="C1856" s="2" t="n">
        <v>43428.4793287037</v>
      </c>
      <c r="D1856" t="inlineStr">
        <is>
          <t>A CRITICA</t>
        </is>
      </c>
      <c r="E1856" t="inlineStr">
        <is>
          <t>VENEZUELANOS</t>
        </is>
      </c>
      <c r="F1856" t="inlineStr"/>
      <c r="G1856" t="inlineStr"/>
      <c r="H1856" t="inlineStr">
        <is>
          <t>AMAZÔNIA EM PÉ GANHA ‘SELO’ ALEMÃO</t>
        </is>
      </c>
      <c r="I1856" t="inlineStr"/>
      <c r="J1856">
        <f>HYPERLINK("https://www.acritica.com/amazonia-em-pe-ganha-selo-alem-o-1.224278", "URL")</f>
        <v/>
      </c>
      <c r="K1856">
        <f>HYPERLINK("https://raw.githubusercontent.com/marcosmapl/dataset_imigrantes/main/noticias_filtered/a_critica/venezuelanos/2018/10_nov/html/1.224278_427.html", "HTML")</f>
        <v/>
      </c>
      <c r="L1856">
        <f>HYPERLINK("https://raw.githubusercontent.com/marcosmapl/dataset_imigrantes/main/noticias_filtered/a_critica/venezuelanos/2018/10_nov/txt/1.224278_427.txt", "TXT")</f>
        <v/>
      </c>
    </row>
    <row r="1857">
      <c r="A1857" s="1" t="n">
        <v>1855</v>
      </c>
      <c r="B1857" t="n">
        <v>2018</v>
      </c>
      <c r="C1857" s="2" t="n">
        <v>43427.59759222222</v>
      </c>
      <c r="D1857" t="inlineStr">
        <is>
          <t>G1</t>
        </is>
      </c>
      <c r="E1857" t="inlineStr">
        <is>
          <t>VENEZUELANOS</t>
        </is>
      </c>
      <c r="F1857" t="inlineStr">
        <is>
          <t>RORAIMA</t>
        </is>
      </c>
      <c r="G1857" t="inlineStr">
        <is>
          <t>MARCELO MARQUES, G1 RR — BOA VISTA</t>
        </is>
      </c>
      <c r="H1857" t="inlineStr">
        <is>
          <t>VENEZUELANO É ESPANCADO POR BRASILEIROS APÓS SUPOSTO FURTO DE DESODORANTES EM PACARAIMA, NORTE DE RR</t>
        </is>
      </c>
      <c r="I1857" t="inlineStr">
        <is>
          <t>SEGUNDO UM TENENTE DA PM EM PACARAIMA, CÂMERAS DE SEGURANÇA DE UM MERCADO FLAGRAM O ROUBO. ESTE É O TERCEIRO CASO ENVOLVENDO AGRESSÕES ENTRE BRASILEIROS E VENEZUELANOS EM RORAIMA.</t>
        </is>
      </c>
      <c r="J1857">
        <f>HYPERLINK("https://g1.globo.com/rr/roraima/noticia/2018/11/23/venezuelano-e-espancado-por-brasileiros-apos-suposto-furto-de-desodorantes-em-pacaraima-norte-de-rr.ghtml", "URL")</f>
        <v/>
      </c>
      <c r="K1857">
        <f>HYPERLINK("https://raw.githubusercontent.com/marcosmapl/dataset_imigrantes/main/noticias_filtered/g1/venezuelanos/2018/10_nov/html/g1_8bd7001e-231c-11ed-b24f-6dbe51e79fca_3451.html", "HTML")</f>
        <v/>
      </c>
      <c r="L1857">
        <f>HYPERLINK("https://raw.githubusercontent.com/marcosmapl/dataset_imigrantes/main/noticias_filtered/g1/venezuelanos/2018/10_nov/txt/g1_8bd7001e-231c-11ed-b24f-6dbe51e79fca_3451.txt", "TXT")</f>
        <v/>
      </c>
    </row>
    <row r="1858">
      <c r="A1858" s="1" t="n">
        <v>1856</v>
      </c>
      <c r="B1858" t="n">
        <v>2018</v>
      </c>
      <c r="C1858" s="2" t="n">
        <v>43426.39626157407</v>
      </c>
      <c r="D1858" t="inlineStr">
        <is>
          <t>A CRITICA</t>
        </is>
      </c>
      <c r="E1858" t="inlineStr">
        <is>
          <t>VENEZUELANOS</t>
        </is>
      </c>
      <c r="F1858" t="inlineStr">
        <is>
          <t>OPINIAO</t>
        </is>
      </c>
      <c r="G1858" t="inlineStr"/>
      <c r="H1858" t="inlineStr">
        <is>
          <t>DOR, PERSISTÊNCIA E SUPERAÇÃO</t>
        </is>
      </c>
      <c r="I1858" t="inlineStr"/>
      <c r="J1858">
        <f>HYPERLINK("https://www.acritica.com/opiniao/dor-persistencia-e-superac-o-1.224288", "URL")</f>
        <v/>
      </c>
      <c r="K1858">
        <f>HYPERLINK("https://raw.githubusercontent.com/marcosmapl/dataset_imigrantes/main/noticias_filtered/a_critica/venezuelanos/2018/10_nov/html/1.224288_1303.html", "HTML")</f>
        <v/>
      </c>
      <c r="L1858">
        <f>HYPERLINK("https://raw.githubusercontent.com/marcosmapl/dataset_imigrantes/main/noticias_filtered/a_critica/venezuelanos/2018/10_nov/txt/1.224288_1303.txt", "TXT")</f>
        <v/>
      </c>
    </row>
    <row r="1859">
      <c r="A1859" s="1" t="n">
        <v>1857</v>
      </c>
      <c r="B1859" t="n">
        <v>2018</v>
      </c>
      <c r="C1859" s="2" t="n">
        <v>43424.65415530092</v>
      </c>
      <c r="D1859" t="inlineStr">
        <is>
          <t>G1</t>
        </is>
      </c>
      <c r="E1859" t="inlineStr">
        <is>
          <t>VENEZUELANOS</t>
        </is>
      </c>
      <c r="F1859" t="inlineStr">
        <is>
          <t>AMAZONAS</t>
        </is>
      </c>
      <c r="G1859" t="inlineStr">
        <is>
          <t>G1 AM</t>
        </is>
      </c>
      <c r="H1859" t="inlineStr">
        <is>
          <t>VENEZUELANO É PRESO SUSPEITO DE ESTUPRAR ADOLESCENTE DE 16 ANOS, NA ZONA LESTE DE MANAUS</t>
        </is>
      </c>
      <c r="I1859" t="inlineStr">
        <is>
          <t>SUSPEITO E VÍTIMA TERIAM SE CONHECIDO EM UMA IGREJA, SEGUNDO A POLÍCIA. ELE FOI APEDREJADO POR POPULARES.</t>
        </is>
      </c>
      <c r="J1859">
        <f>HYPERLINK("https://g1.globo.com/am/amazonas/noticia/2018/11/20/venezuelano-e-preso-suspeito-de-estuprar-adolescente-de-16-anos-na-zona-leste-de-manaus.ghtml", "URL")</f>
        <v/>
      </c>
      <c r="K1859">
        <f>HYPERLINK("https://raw.githubusercontent.com/marcosmapl/dataset_imigrantes/main/noticias_filtered/g1/venezuelanos/2018/10_nov/html/g1_e4063c6e-2326-11ed-b24f-6dbe51e79fca_4004.html", "HTML")</f>
        <v/>
      </c>
      <c r="L1859">
        <f>HYPERLINK("https://raw.githubusercontent.com/marcosmapl/dataset_imigrantes/main/noticias_filtered/g1/venezuelanos/2018/10_nov/txt/g1_e4063c6e-2326-11ed-b24f-6dbe51e79fca_4004.txt", "TXT")</f>
        <v/>
      </c>
    </row>
    <row r="1860">
      <c r="A1860" s="1" t="n">
        <v>1858</v>
      </c>
      <c r="B1860" t="n">
        <v>2018</v>
      </c>
      <c r="C1860" s="2" t="n">
        <v>43424.61041666667</v>
      </c>
      <c r="D1860" t="inlineStr">
        <is>
          <t>A CRITICA</t>
        </is>
      </c>
      <c r="E1860" t="inlineStr">
        <is>
          <t>VENEZUELANOS</t>
        </is>
      </c>
      <c r="F1860" t="inlineStr">
        <is>
          <t>POLICIA</t>
        </is>
      </c>
      <c r="G1860" t="inlineStr">
        <is>
          <t>FÁBIO OLIVEIRA</t>
        </is>
      </c>
      <c r="H1860" t="inlineStr">
        <is>
          <t>VENEZUELANO É ACUSADO DE ESTUPRAR ADOLESCENTE DE 16 ANOS NO PURAQUEQUARA</t>
        </is>
      </c>
      <c r="I1860" t="inlineStr">
        <is>
          <t>APÓS A ADOLESCENTE GRITAR DA CASA DO SUSPEITO, ELE FOI AGREDIDO POR POPULARES E FICOU COM VÁRIOS HEMATOMAS NO TÓRAX</t>
        </is>
      </c>
      <c r="J1860">
        <f>HYPERLINK("https://www.acritica.com/policia/venezuelano-e-acusado-de-estuprar-adolescente-de-16-anos-no-puraquequara-1.88934", "URL")</f>
        <v/>
      </c>
      <c r="K1860">
        <f>HYPERLINK("https://raw.githubusercontent.com/marcosmapl/dataset_imigrantes/main/noticias_filtered/a_critica/venezuelanos/2018/10_nov/html/1.88934_1268.html", "HTML")</f>
        <v/>
      </c>
      <c r="L1860">
        <f>HYPERLINK("https://raw.githubusercontent.com/marcosmapl/dataset_imigrantes/main/noticias_filtered/a_critica/venezuelanos/2018/10_nov/txt/1.88934_1268.txt", "TXT")</f>
        <v/>
      </c>
    </row>
    <row r="1861">
      <c r="A1861" s="1" t="n">
        <v>1859</v>
      </c>
      <c r="B1861" t="n">
        <v>2018</v>
      </c>
      <c r="C1861" s="2" t="n">
        <v>43423.93392677083</v>
      </c>
      <c r="D1861" t="inlineStr">
        <is>
          <t>G1</t>
        </is>
      </c>
      <c r="E1861" t="inlineStr">
        <is>
          <t>VENEZUELANOS</t>
        </is>
      </c>
      <c r="F1861" t="inlineStr">
        <is>
          <t>RORAIMA</t>
        </is>
      </c>
      <c r="G1861" t="inlineStr">
        <is>
          <t>G1 RR — BOA VISTA</t>
        </is>
      </c>
      <c r="H1861" t="inlineStr">
        <is>
          <t>VENEZUELANO TEM DEDO DA MÃO DECEPADO AO ARROMBAR CASA DE BRASILEIRO EM PACARAIMA, NORTE DE RR</t>
        </is>
      </c>
      <c r="I1861" t="inlineStr">
        <is>
          <t>IMIGRANTE SOFREU AINDA CORTES NO BRAÇO E NA PERNA. BRASILEIRO DISSE À PM QUE AGIU EM LEGÍTIMA DEFESA PORQUE VENEZUELANO HAVIA ARROMBADO SUA CASA.</t>
        </is>
      </c>
      <c r="J1861">
        <f>HYPERLINK("https://g1.globo.com/rr/roraima/noticia/2018/11/19/venezuelano-tem-dedo-da-mao-decepado-ao-arrombar-casa-de-brasileiro-em-pacaraima-norte-de-rr.ghtml", "URL")</f>
        <v/>
      </c>
      <c r="K1861">
        <f>HYPERLINK("https://raw.githubusercontent.com/marcosmapl/dataset_imigrantes/main/noticias_filtered/g1/venezuelanos/2018/10_nov/html/g1_96c87a32-2323-11ed-b24f-6dbe51e79fca_3817.html", "HTML")</f>
        <v/>
      </c>
      <c r="L1861">
        <f>HYPERLINK("https://raw.githubusercontent.com/marcosmapl/dataset_imigrantes/main/noticias_filtered/g1/venezuelanos/2018/10_nov/txt/g1_96c87a32-2323-11ed-b24f-6dbe51e79fca_3817.txt", "TXT")</f>
        <v/>
      </c>
    </row>
    <row r="1862">
      <c r="A1862" s="1" t="n">
        <v>1860</v>
      </c>
      <c r="B1862" t="n">
        <v>2018</v>
      </c>
      <c r="C1862" s="2" t="n">
        <v>43423.86882053241</v>
      </c>
      <c r="D1862" t="inlineStr">
        <is>
          <t>G1</t>
        </is>
      </c>
      <c r="E1862" t="inlineStr">
        <is>
          <t>HAITIANOS</t>
        </is>
      </c>
      <c r="F1862" t="inlineStr">
        <is>
          <t>MUNDO</t>
        </is>
      </c>
      <c r="G1862" t="inlineStr">
        <is>
          <t>FRANCE PRESSE</t>
        </is>
      </c>
      <c r="H1862" t="inlineStr">
        <is>
          <t>MANIFESTAÇÕES DEIXAM VÁRIOS MORTOS NO HAITI</t>
        </is>
      </c>
      <c r="I1862" t="inlineStr">
        <is>
          <t>POLÍCIA DIZ QUE TRÊS PESSOAS MORRERAM BALEADAS NO DOMINGO, OPOSIÇÃO AFIRMA QUE SÃO 11 OS MORTOS. MILHARES DE PESSOAS FORAM ÀS RUAS DAS PRINCIPAIS CIDADES DO PAÍS PARA DENUNCIAR A CORRUPÇÃO DO GOVERNO E EXIGIR A RENÚNCIA IMEDIATA DO PRESIDENTE JOVENEL MOÏSE.</t>
        </is>
      </c>
      <c r="J1862">
        <f>HYPERLINK("https://g1.globo.com/mundo/noticia/2018/11/19/manifestacoes-deixam-varios-mortos-no-haiti.ghtml", "URL")</f>
        <v/>
      </c>
      <c r="K1862">
        <f>HYPERLINK("https://raw.githubusercontent.com/marcosmapl/dataset_imigrantes/main/noticias_filtered/g1/haitianos/2018/10_nov/html/g1_67ffefa8-2316-11ed-b24f-6dbe51e79fca_3145.html", "HTML")</f>
        <v/>
      </c>
      <c r="L1862">
        <f>HYPERLINK("https://raw.githubusercontent.com/marcosmapl/dataset_imigrantes/main/noticias_filtered/g1/haitianos/2018/10_nov/txt/g1_67ffefa8-2316-11ed-b24f-6dbe51e79fca_3145.txt", "TXT")</f>
        <v/>
      </c>
    </row>
    <row r="1863">
      <c r="A1863" s="1" t="n">
        <v>1861</v>
      </c>
      <c r="B1863" t="n">
        <v>2018</v>
      </c>
      <c r="C1863" s="2" t="n">
        <v>43423.38722222222</v>
      </c>
      <c r="D1863" t="inlineStr">
        <is>
          <t>A CRITICA</t>
        </is>
      </c>
      <c r="E1863" t="inlineStr">
        <is>
          <t>VENEZUELANOS</t>
        </is>
      </c>
      <c r="F1863" t="inlineStr">
        <is>
          <t>ESPORTES</t>
        </is>
      </c>
      <c r="G1863" t="inlineStr">
        <is>
          <t>VALTER CARDOSO</t>
        </is>
      </c>
      <c r="H1863" t="inlineStr">
        <is>
          <t>IRANDUBA ESTREIA COM VITÓRIA NA LIBERTADORES FEMININA</t>
        </is>
      </c>
      <c r="I1863" t="inlineStr">
        <is>
          <t>O PRÓXIMO JOGO DO IRANDUBA ACONTECE NA QUARTA-FEIRA (21), DIANTE DO CERRO PORTEÑO, ÀS 20H30, TAMBÉM NA ARENA DA AMAZÔNIA</t>
        </is>
      </c>
      <c r="J1863">
        <f>HYPERLINK("https://www.acritica.com/esportes/iranduba-estreia-com-vitoria-na-libertadores-feminina-1.89391", "URL")</f>
        <v/>
      </c>
      <c r="K1863">
        <f>HYPERLINK("https://raw.githubusercontent.com/marcosmapl/dataset_imigrantes/main/noticias_filtered/a_critica/venezuelanos/2018/10_nov/html/1.89391_214.html", "HTML")</f>
        <v/>
      </c>
      <c r="L1863">
        <f>HYPERLINK("https://raw.githubusercontent.com/marcosmapl/dataset_imigrantes/main/noticias_filtered/a_critica/venezuelanos/2018/10_nov/txt/1.89391_214.txt", "TXT")</f>
        <v/>
      </c>
    </row>
    <row r="1864">
      <c r="A1864" s="1" t="n">
        <v>1862</v>
      </c>
      <c r="B1864" t="n">
        <v>2018</v>
      </c>
      <c r="C1864" s="2" t="n">
        <v>43422.85334490741</v>
      </c>
      <c r="D1864" t="inlineStr">
        <is>
          <t>A CRITICA</t>
        </is>
      </c>
      <c r="E1864" t="inlineStr">
        <is>
          <t>VENEZUELANOS</t>
        </is>
      </c>
      <c r="F1864" t="inlineStr">
        <is>
          <t>ESPORTES</t>
        </is>
      </c>
      <c r="G1864" t="inlineStr">
        <is>
          <t>JÉSSICA SANTOS</t>
        </is>
      </c>
      <c r="H1864" t="inlineStr">
        <is>
          <t>LIBERTADORES FEMININA TEM INÍCIO EM MANAUS; IRANDUBA JOGA NESTE DOMINGO (18)</t>
        </is>
      </c>
      <c r="I1864" t="inlineStr">
        <is>
          <t>PRIMEIRA PARTIDA SERÁ ENTRE URQUIZA E CERRO PORTEÑO. IRANDUBA PEGA O FLOR DE PATRIA A PARTIR DAS 20H30 NA ARENA</t>
        </is>
      </c>
      <c r="J1864">
        <f>HYPERLINK("https://www.acritica.com/esportes/libertadores-feminina-tem-inicio-em-manaus-iranduba-joga-neste-domingo-18-1.89449", "URL")</f>
        <v/>
      </c>
      <c r="K1864">
        <f>HYPERLINK("https://raw.githubusercontent.com/marcosmapl/dataset_imigrantes/main/noticias_filtered/a_critica/venezuelanos/2018/10_nov/html/1.89449_1223.html", "HTML")</f>
        <v/>
      </c>
      <c r="L1864">
        <f>HYPERLINK("https://raw.githubusercontent.com/marcosmapl/dataset_imigrantes/main/noticias_filtered/a_critica/venezuelanos/2018/10_nov/txt/1.89449_1223.txt", "TXT")</f>
        <v/>
      </c>
    </row>
    <row r="1865">
      <c r="A1865" s="1" t="n">
        <v>1863</v>
      </c>
      <c r="B1865" t="n">
        <v>2018</v>
      </c>
      <c r="C1865" s="2" t="n">
        <v>43419.46765046296</v>
      </c>
      <c r="D1865" t="inlineStr">
        <is>
          <t>A CRITICA</t>
        </is>
      </c>
      <c r="E1865" t="inlineStr">
        <is>
          <t>VENEZUELANOS</t>
        </is>
      </c>
      <c r="F1865" t="inlineStr">
        <is>
          <t>ESPORTES</t>
        </is>
      </c>
      <c r="G1865" t="inlineStr">
        <is>
          <t>CAMILA LEONEL</t>
        </is>
      </c>
      <c r="H1865" t="inlineStr">
        <is>
          <t>FLOR DE PÁTRIA E ATLÉTICO HUILA CHEGAM A MANAUS PARA A LIBERTADORES FEMININA</t>
        </is>
      </c>
      <c r="I1865" t="inlineStr">
        <is>
          <t>O FLOR DE PÁTRIA, DA VENEZUELA, ESTREIA NA COMPETIÇÃO CONTRA O IRANDUBA EM JOGO NO DOMINGO (17). HUILA, DA COLÔMBIA, JOGARÁ NA SEGUNDA-FEIRA (18) CONTRA O PEÑAROL</t>
        </is>
      </c>
      <c r="J1865">
        <f>HYPERLINK("https://www.acritica.com/esportes/flor-de-patria-e-atletico-huila-chegam-a-manaus-para-a-libertadores-feminina-1.89904", "URL")</f>
        <v/>
      </c>
      <c r="K1865">
        <f>HYPERLINK("https://raw.githubusercontent.com/marcosmapl/dataset_imigrantes/main/noticias_filtered/a_critica/venezuelanos/2018/10_nov/html/1.89904_808.html", "HTML")</f>
        <v/>
      </c>
      <c r="L1865">
        <f>HYPERLINK("https://raw.githubusercontent.com/marcosmapl/dataset_imigrantes/main/noticias_filtered/a_critica/venezuelanos/2018/10_nov/txt/1.89904_808.txt", "TXT")</f>
        <v/>
      </c>
    </row>
    <row r="1866">
      <c r="A1866" s="1" t="n">
        <v>1864</v>
      </c>
      <c r="B1866" t="n">
        <v>2018</v>
      </c>
      <c r="C1866" s="2" t="n">
        <v>43417.88305564815</v>
      </c>
      <c r="D1866" t="inlineStr">
        <is>
          <t>G1</t>
        </is>
      </c>
      <c r="E1866" t="inlineStr">
        <is>
          <t>VENEZUELANOS</t>
        </is>
      </c>
      <c r="F1866" t="inlineStr">
        <is>
          <t>RORAIMA</t>
        </is>
      </c>
      <c r="G1866" t="inlineStr">
        <is>
          <t>G1 RR</t>
        </is>
      </c>
      <c r="H1866" t="inlineStr">
        <is>
          <t>VENEZUELANO É ASSALTADO E TEM TELEVISÃO ROUBADA NA ZONA OESTE DE BOA VISTA</t>
        </is>
      </c>
      <c r="I1866" t="inlineStr">
        <is>
          <t>TV ROUBADA FOI RECUPERADA APÓS TROCA DE TIROS ENTRE OS SUSPEITOS E GUARDA CIVIL MUNICIPAL NESSA SEGUNDA (12).</t>
        </is>
      </c>
      <c r="J1866">
        <f>HYPERLINK("https://g1.globo.com/rr/roraima/noticia/2018/11/13/venezuelano-e-assaltado-e-tem-televisao-roubada-na-zona-oeste-de-boa-vista.ghtml", "URL")</f>
        <v/>
      </c>
      <c r="K1866">
        <f>HYPERLINK("https://raw.githubusercontent.com/marcosmapl/dataset_imigrantes/main/noticias_filtered/g1/venezuelanos/2018/10_nov/html/g1_0cd4ca68-2320-11ed-b24f-6dbe51e79fca_3659.html", "HTML")</f>
        <v/>
      </c>
      <c r="L1866">
        <f>HYPERLINK("https://raw.githubusercontent.com/marcosmapl/dataset_imigrantes/main/noticias_filtered/g1/venezuelanos/2018/10_nov/txt/g1_0cd4ca68-2320-11ed-b24f-6dbe51e79fca_3659.txt", "TXT")</f>
        <v/>
      </c>
    </row>
    <row r="1867">
      <c r="A1867" s="1" t="n">
        <v>1865</v>
      </c>
      <c r="B1867" t="n">
        <v>2018</v>
      </c>
      <c r="C1867" s="2" t="n">
        <v>43415.64149486111</v>
      </c>
      <c r="D1867" t="inlineStr">
        <is>
          <t>G1</t>
        </is>
      </c>
      <c r="E1867" t="inlineStr">
        <is>
          <t>VENEZUELANOS</t>
        </is>
      </c>
      <c r="F1867" t="inlineStr">
        <is>
          <t>RORAIMA</t>
        </is>
      </c>
      <c r="G1867" t="inlineStr">
        <is>
          <t>ALAN CHAVES E VALÉRIA OLIVEIRA, G1 RR — BOA VISTA</t>
        </is>
      </c>
      <c r="H1867" t="inlineStr">
        <is>
          <t>VENEZUELANO DESEMPREGADO VENDE CANETAS NA PORTA DO ENEM E SONHA FAZER PROVA: 'UM DIA SERÁ EU ENTRANDO NESSES PORTÕES'</t>
        </is>
      </c>
      <c r="I1867" t="inlineStr">
        <is>
          <t>SEGUNDO DIA DE PROVAS DO ENEM 2018 OCORRE NESTE DOMINGO (11) EM TODO O PAÍS.</t>
        </is>
      </c>
      <c r="J1867">
        <f>HYPERLINK("https://g1.globo.com/rr/roraima/noticia/2018/11/11/venezuelano-desempregado-vende-canetas-na-porta-do-enem-e-sonha-fazer-prova-um-dia-sera-eu-entrado-nesses-portoes.ghtml", "URL")</f>
        <v/>
      </c>
      <c r="K1867">
        <f>HYPERLINK("https://raw.githubusercontent.com/marcosmapl/dataset_imigrantes/main/noticias_filtered/g1/venezuelanos/2018/10_nov/html/g1_f7f6a474-2309-11ed-b24f-6dbe51e79fca_2477.html", "HTML")</f>
        <v/>
      </c>
      <c r="L1867">
        <f>HYPERLINK("https://raw.githubusercontent.com/marcosmapl/dataset_imigrantes/main/noticias_filtered/g1/venezuelanos/2018/10_nov/txt/g1_f7f6a474-2309-11ed-b24f-6dbe51e79fca_2477.txt", "TXT")</f>
        <v/>
      </c>
    </row>
    <row r="1868">
      <c r="A1868" s="1" t="n">
        <v>1866</v>
      </c>
      <c r="B1868" t="n">
        <v>2018</v>
      </c>
      <c r="C1868" s="2" t="n">
        <v>43414.86901680555</v>
      </c>
      <c r="D1868" t="inlineStr">
        <is>
          <t>G1</t>
        </is>
      </c>
      <c r="E1868" t="inlineStr">
        <is>
          <t>HAITIANOS</t>
        </is>
      </c>
      <c r="F1868" t="inlineStr">
        <is>
          <t>MATO GROSSO DO SUL</t>
        </is>
      </c>
      <c r="G1868" t="inlineStr">
        <is>
          <t>BRUNO AXELSON E JAQUELINE NAUJORKS, TV MORENA — CAMPO GRANDE</t>
        </is>
      </c>
      <c r="H1868" t="inlineStr">
        <is>
          <t>HAITIANO DIZ QUE CHEGARÁ CEDO PARA O ENEM POR VALORIZAR A CHANCE: 'COMO ESTRANGEIRO QUERO DAR O EXEMPLO'</t>
        </is>
      </c>
      <c r="I1868" t="inlineStr">
        <is>
          <t>BERNARD CHEGOU COM 3 HORAS DE ANTECEDÊNCIA PARA A PRIMEIRA PROVA EM CAMPO GRANDE (MS). PARA A DESTE DOMINGO (11), FARÁ O MESMO: "É SINAL DE RESPEITO COM MEU OBJETIVO".</t>
        </is>
      </c>
      <c r="J1868">
        <f>HYPERLINK("https://g1.globo.com/ms/mato-grosso-do-sul/noticia/2018/11/10/haitiano-diz-que-chegara-cedo-para-o-enem-por-valorizar-a-chance-como-estrangeiro-quero-dar-o-exemplo.ghtml", "URL")</f>
        <v/>
      </c>
      <c r="K1868">
        <f>HYPERLINK("https://raw.githubusercontent.com/marcosmapl/dataset_imigrantes/main/noticias_filtered/g1/haitianos/2018/10_nov/html/g1_dc67a6d0-22f1-11ed-b24f-6dbe51e79fca_1768.html", "HTML")</f>
        <v/>
      </c>
      <c r="L1868">
        <f>HYPERLINK("https://raw.githubusercontent.com/marcosmapl/dataset_imigrantes/main/noticias_filtered/g1/haitianos/2018/10_nov/txt/g1_dc67a6d0-22f1-11ed-b24f-6dbe51e79fca_1768.txt", "TXT")</f>
        <v/>
      </c>
    </row>
    <row r="1869">
      <c r="A1869" s="1" t="n">
        <v>1867</v>
      </c>
      <c r="B1869" t="n">
        <v>2018</v>
      </c>
      <c r="C1869" s="2" t="n">
        <v>43414.82310508102</v>
      </c>
      <c r="D1869" t="inlineStr">
        <is>
          <t>G1</t>
        </is>
      </c>
      <c r="E1869" t="inlineStr">
        <is>
          <t>VENEZUELANOS</t>
        </is>
      </c>
      <c r="F1869" t="inlineStr">
        <is>
          <t>RIO GRANDE DO SUL</t>
        </is>
      </c>
      <c r="G1869" t="inlineStr">
        <is>
          <t>G1 RS</t>
        </is>
      </c>
      <c r="H1869" t="inlineStr">
        <is>
          <t>IMIGRANTE VENEZUELANA DÁ À LUZ UMA MENINA EM HOSPITAL DE CANOAS</t>
        </is>
      </c>
      <c r="I1869" t="inlineStr">
        <is>
          <t>BEBÊ, CHAMADA DE MARIANGEL, NASCEU NA SEXTA-FEIRA (9), NO HOSPITAL UNIVERSITÁRIO. MÃE E FILHA PASSAM BEM E DEVEM RECEBER ALTA NO DOMINGO (11).</t>
        </is>
      </c>
      <c r="J1869">
        <f>HYPERLINK("https://g1.globo.com/rs/rio-grande-do-sul/noticia/2018/11/10/filha-de-imigrantes-venezuelanos-nasce-em-hospital-de-canoas.ghtml", "URL")</f>
        <v/>
      </c>
      <c r="K1869">
        <f>HYPERLINK("https://raw.githubusercontent.com/marcosmapl/dataset_imigrantes/main/noticias_filtered/g1/venezuelanos/2018/10_nov/html/g1_02518c72-2314-11ed-b24f-6dbe51e79fca_3039.html", "HTML")</f>
        <v/>
      </c>
      <c r="L1869">
        <f>HYPERLINK("https://raw.githubusercontent.com/marcosmapl/dataset_imigrantes/main/noticias_filtered/g1/venezuelanos/2018/10_nov/txt/g1_02518c72-2314-11ed-b24f-6dbe51e79fca_3039.txt", "TXT")</f>
        <v/>
      </c>
    </row>
    <row r="1870">
      <c r="A1870" s="1" t="n">
        <v>1868</v>
      </c>
      <c r="B1870" t="n">
        <v>2018</v>
      </c>
      <c r="C1870" s="2" t="n">
        <v>43414.6324759838</v>
      </c>
      <c r="D1870" t="inlineStr">
        <is>
          <t>G1</t>
        </is>
      </c>
      <c r="E1870" t="inlineStr">
        <is>
          <t>VENEZUELANOS</t>
        </is>
      </c>
      <c r="F1870" t="inlineStr">
        <is>
          <t>RIBEIRÃO E FRANCA</t>
        </is>
      </c>
      <c r="G1870" t="inlineStr">
        <is>
          <t>EPTV 1</t>
        </is>
      </c>
      <c r="H1870" t="inlineStr">
        <is>
          <t>VENEZUELANO É PRESO COM CARRO CHEIO DE ROUPAS FURTADAS EM SHOPPINGS NA REGIÃO DE RIBEIRÃO</t>
        </is>
      </c>
      <c r="I1870" t="inlineStr">
        <is>
          <t>HOMEM FOI PRESO APÓS SER FLAGRADO POR SEGURANÇA DE ESTABELECIMENTO NA ZONA SUL. SUSPEITO TENTOU DESPISTAR A POLÍCIA E FUGIR DE ÔNIBUS, MAS FOI CAPTURADO E CONFESSOU CRIMES, DIZ PM.</t>
        </is>
      </c>
      <c r="J1870">
        <f>HYPERLINK("https://g1.globo.com/sp/ribeirao-preto-franca/noticia/2018/11/10/venezuelano-e-preso-com-carro-cheio-de-roupas-furtadas-em-shoppings-na-regiao-de-ribeirao-preto-sp.ghtml", "URL")</f>
        <v/>
      </c>
      <c r="K1870">
        <f>HYPERLINK("https://raw.githubusercontent.com/marcosmapl/dataset_imigrantes/main/noticias_filtered/g1/venezuelanos/2018/10_nov/html/g1_fd30857e-2307-11ed-b24f-6dbe51e79fca_2357.html", "HTML")</f>
        <v/>
      </c>
      <c r="L1870">
        <f>HYPERLINK("https://raw.githubusercontent.com/marcosmapl/dataset_imigrantes/main/noticias_filtered/g1/venezuelanos/2018/10_nov/txt/g1_fd30857e-2307-11ed-b24f-6dbe51e79fca_2357.txt", "TXT")</f>
        <v/>
      </c>
    </row>
    <row r="1871">
      <c r="A1871" s="1" t="n">
        <v>1869</v>
      </c>
      <c r="B1871" t="n">
        <v>2018</v>
      </c>
      <c r="C1871" s="2" t="n">
        <v>43414.63084319444</v>
      </c>
      <c r="D1871" t="inlineStr">
        <is>
          <t>G1</t>
        </is>
      </c>
      <c r="E1871" t="inlineStr">
        <is>
          <t>VENEZUELANOS</t>
        </is>
      </c>
      <c r="F1871" t="inlineStr">
        <is>
          <t>AMAZONAS</t>
        </is>
      </c>
      <c r="G1871" t="inlineStr">
        <is>
          <t>G1 AM</t>
        </is>
      </c>
      <c r="H1871" t="inlineStr">
        <is>
          <t>PRIMEIRO ABRIGO DO BRASIL PARA REFUGIADOS LGBTI ACOLHE VENEZUELANAS EM MANAUS</t>
        </is>
      </c>
      <c r="I1871" t="inlineStr">
        <is>
          <t>'CASA MIGA' ABRIGA, ATUALMENTE, CINCO MULHERES. LAR É RESULTADO DE PROJETO CORDENADO DA AGÊNCIA PARA REFUGIADOS DA ONU, COM APOIO FINANCEIRO DA UNIÃO EUROPEIA E ONG'S LOCAIS</t>
        </is>
      </c>
      <c r="J1871">
        <f>HYPERLINK("https://g1.globo.com/am/amazonas/noticia/2018/11/10/primeiro-abrigo-do-brasil-para-refugiados-lgbti-acolhe-venezuelanas-em-manaus.ghtml", "URL")</f>
        <v/>
      </c>
      <c r="K1871">
        <f>HYPERLINK("https://raw.githubusercontent.com/marcosmapl/dataset_imigrantes/main/noticias_filtered/g1/venezuelanos/2018/10_nov/html/g1_e13cbb18-230b-11ed-b24f-6dbe51e79fca_2593.html", "HTML")</f>
        <v/>
      </c>
      <c r="L1871">
        <f>HYPERLINK("https://raw.githubusercontent.com/marcosmapl/dataset_imigrantes/main/noticias_filtered/g1/venezuelanos/2018/10_nov/txt/g1_e13cbb18-230b-11ed-b24f-6dbe51e79fca_2593.txt", "TXT")</f>
        <v/>
      </c>
    </row>
    <row r="1872">
      <c r="A1872" s="1" t="n">
        <v>1870</v>
      </c>
      <c r="B1872" t="n">
        <v>2018</v>
      </c>
      <c r="C1872" s="2" t="n">
        <v>43413.68292824074</v>
      </c>
      <c r="D1872" t="inlineStr">
        <is>
          <t>A CRITICA</t>
        </is>
      </c>
      <c r="E1872" t="inlineStr">
        <is>
          <t>VENEZUELANOS</t>
        </is>
      </c>
      <c r="F1872" t="inlineStr"/>
      <c r="G1872" t="inlineStr">
        <is>
          <t>AMANDA GUIMARÃES</t>
        </is>
      </c>
      <c r="H1872" t="inlineStr">
        <is>
          <t>APENAS 40% DA POPULAÇÃO DO AM TOMOU A VACINA CONTRA O SARAMPO, DIZ PESQUISA</t>
        </is>
      </c>
      <c r="I1872" t="inlineStr">
        <is>
          <t>ESTUDO DO ICTQ APONTA QUE OS MAIS JOVENS, COM IDADE ABAIXO DE 24 ANOS, E OS MAIS IDOSOS, SÃO OS GRUPOS COM MAIOR RISCO PELA FALTA DE IMUNIZAÇÃO NO ESTADO</t>
        </is>
      </c>
      <c r="J1872">
        <f>HYPERLINK("https://www.acritica.com/apenas-40-da-populac-o-do-am-tomou-a-vacina-contra-o-sarampo-diz-pesquisa-1.93023", "URL")</f>
        <v/>
      </c>
      <c r="K1872">
        <f>HYPERLINK("https://raw.githubusercontent.com/marcosmapl/dataset_imigrantes/main/noticias_filtered/a_critica/venezuelanos/2018/10_nov/html/1.93023_92.html", "HTML")</f>
        <v/>
      </c>
      <c r="L1872">
        <f>HYPERLINK("https://raw.githubusercontent.com/marcosmapl/dataset_imigrantes/main/noticias_filtered/a_critica/venezuelanos/2018/10_nov/txt/1.93023_92.txt", "TXT")</f>
        <v/>
      </c>
    </row>
    <row r="1873">
      <c r="A1873" s="1" t="n">
        <v>1871</v>
      </c>
      <c r="B1873" t="n">
        <v>2018</v>
      </c>
      <c r="C1873" s="2" t="n">
        <v>43412.84860820602</v>
      </c>
      <c r="D1873" t="inlineStr">
        <is>
          <t>G1</t>
        </is>
      </c>
      <c r="E1873" t="inlineStr">
        <is>
          <t>VENEZUELANOS</t>
        </is>
      </c>
      <c r="F1873" t="inlineStr">
        <is>
          <t>RORAIMA</t>
        </is>
      </c>
      <c r="G1873" t="inlineStr">
        <is>
          <t>G1 RR</t>
        </is>
      </c>
      <c r="H1873" t="inlineStr">
        <is>
          <t>VENEZUELANO É ESFAQUEADO DURANTE BRIGA EM BAR NA ZONA SUL DE BOA VISTA</t>
        </is>
      </c>
      <c r="I1873" t="inlineStr">
        <is>
          <t>LUIZ JESUS ORFILA GONZALEZ, DE 24 ANOS, FOI ATINGIDO COM UMA FACADA NO ROSTO E OUTRA NO TÓRAX. CASO OCORREU NESSA QUARTA (7), NO SÃO VICENTE.</t>
        </is>
      </c>
      <c r="J1873">
        <f>HYPERLINK("https://g1.globo.com/rr/roraima/noticia/2018/11/08/venezuelano-e-esfaqueado-durante-briga-em-bar-na-zona-sul-de-boa-vista.ghtml", "URL")</f>
        <v/>
      </c>
      <c r="K1873">
        <f>HYPERLINK("https://raw.githubusercontent.com/marcosmapl/dataset_imigrantes/main/noticias_filtered/g1/venezuelanos/2018/10_nov/html/g1_f3d4b22a-2311-11ed-b24f-6dbe51e79fca_2942.html", "HTML")</f>
        <v/>
      </c>
      <c r="L1873">
        <f>HYPERLINK("https://raw.githubusercontent.com/marcosmapl/dataset_imigrantes/main/noticias_filtered/g1/venezuelanos/2018/10_nov/txt/g1_f3d4b22a-2311-11ed-b24f-6dbe51e79fca_2942.txt", "TXT")</f>
        <v/>
      </c>
    </row>
    <row r="1874">
      <c r="A1874" s="1" t="n">
        <v>1872</v>
      </c>
      <c r="B1874" t="n">
        <v>2018</v>
      </c>
      <c r="C1874" s="2" t="n">
        <v>43412.68534722222</v>
      </c>
      <c r="D1874" t="inlineStr">
        <is>
          <t>A CRITICA</t>
        </is>
      </c>
      <c r="E1874" t="inlineStr">
        <is>
          <t>VENEZUELANOS</t>
        </is>
      </c>
      <c r="F1874" t="inlineStr"/>
      <c r="G1874" t="inlineStr">
        <is>
          <t>AGÊNCIA BRASIL</t>
        </is>
      </c>
      <c r="H1874" t="inlineStr">
        <is>
          <t>REFUGIADOS E MIGRANTES VENEZUELANOS JÁ SÃO 3 MILHÕES NO MUNDO</t>
        </is>
      </c>
      <c r="I1874" t="inlineStr">
        <is>
          <t>A MAIOR PARTE DOS MIGRANTES (2,4 MILHÕES) SE DESLOCOU PARA PAÍSES DA AMÉRICA LATINA E DO CARIBE. TAMBÉM HÁ REGISTRO DE CHEGADA DOS REFUGIADOS NA VENEZUELA</t>
        </is>
      </c>
      <c r="J1874">
        <f>HYPERLINK("https://www.acritica.com/refugiados-e-migrantes-venezuelanos-ja-s-o-3-milh-es-no-mundo-1.82185", "URL")</f>
        <v/>
      </c>
      <c r="K1874">
        <f>HYPERLINK("https://raw.githubusercontent.com/marcosmapl/dataset_imigrantes/main/noticias_filtered/a_critica/venezuelanos/2018/10_nov/html/1.82185_1035.html", "HTML")</f>
        <v/>
      </c>
      <c r="L1874">
        <f>HYPERLINK("https://raw.githubusercontent.com/marcosmapl/dataset_imigrantes/main/noticias_filtered/a_critica/venezuelanos/2018/10_nov/txt/1.82185_1035.txt", "TXT")</f>
        <v/>
      </c>
    </row>
    <row r="1875">
      <c r="A1875" s="1" t="n">
        <v>1873</v>
      </c>
      <c r="B1875" t="n">
        <v>2018</v>
      </c>
      <c r="C1875" s="2" t="n">
        <v>43411.88030644676</v>
      </c>
      <c r="D1875" t="inlineStr">
        <is>
          <t>G1</t>
        </is>
      </c>
      <c r="E1875" t="inlineStr">
        <is>
          <t>VENEZUELANOS</t>
        </is>
      </c>
      <c r="F1875" t="inlineStr">
        <is>
          <t>PIRACICABA E REGIÃO</t>
        </is>
      </c>
      <c r="G1875" t="inlineStr">
        <is>
          <t>G1 PIRACICABA E REGIÃO</t>
        </is>
      </c>
      <c r="H1875" t="inlineStr">
        <is>
          <t>ESCRITOR VENEZUELANO LANÇA LIVRO EM LIMEIRA E DESTINA VERBA PARA AJUDAR FAMÍLIAS DO PAÍS QUE NASCEU</t>
        </is>
      </c>
      <c r="I1875" t="inlineStr">
        <is>
          <t>EVENTO OCORRE NESTA QUINTA-FEIRA (8), ÀS 20H, NO CENTRO. ENTRADA CUSTA R$ 20.</t>
        </is>
      </c>
      <c r="J1875">
        <f>HYPERLINK("https://g1.globo.com/sp/piracicaba-regiao/noticia/2018/11/07/escritor-venezuelano-lanca-livro-em-limeira-e-destina-verba-para-ajudar-familias-do-pais-que-nasceu.ghtml", "URL")</f>
        <v/>
      </c>
      <c r="K1875">
        <f>HYPERLINK("https://raw.githubusercontent.com/marcosmapl/dataset_imigrantes/main/noticias_filtered/g1/venezuelanos/2018/10_nov/html/g1_abc8550e-2316-11ed-b24f-6dbe51e79fca_3163.html", "HTML")</f>
        <v/>
      </c>
      <c r="L1875">
        <f>HYPERLINK("https://raw.githubusercontent.com/marcosmapl/dataset_imigrantes/main/noticias_filtered/g1/venezuelanos/2018/10_nov/txt/g1_abc8550e-2316-11ed-b24f-6dbe51e79fca_3163.txt", "TXT")</f>
        <v/>
      </c>
    </row>
    <row r="1876">
      <c r="A1876" s="1" t="n">
        <v>1874</v>
      </c>
      <c r="B1876" t="n">
        <v>2018</v>
      </c>
      <c r="C1876" s="2" t="n">
        <v>43411.55517361111</v>
      </c>
      <c r="D1876" t="inlineStr">
        <is>
          <t>A CRITICA</t>
        </is>
      </c>
      <c r="E1876" t="inlineStr">
        <is>
          <t>VENEZUELANOS</t>
        </is>
      </c>
      <c r="F1876" t="inlineStr">
        <is>
          <t>MANAUS</t>
        </is>
      </c>
      <c r="G1876" t="inlineStr">
        <is>
          <t>ACRÍTICA.COM</t>
        </is>
      </c>
      <c r="H1876" t="inlineStr">
        <is>
          <t>PROGRAMA DE CAPACITAÇÃO DE VENEZUELANOS VAI BUSCAR PARCERIAS PARA EMPREGAR FORMADOS</t>
        </is>
      </c>
      <c r="I1876" t="inlineStr">
        <is>
          <t>APÓS A FORMATURA DE MAIS DE CEM VENEZUELANOS EM CURSOS TÉCNICOS, PROGRAMA VAI TENTAR VIABILIZAR ABSORÇÃO PELO MERCADO, PARA DAR A CHANCE DE RECOMEÇO AOS IMIGRANTES</t>
        </is>
      </c>
      <c r="J1876">
        <f>HYPERLINK("https://www.acritica.com/manaus/programa-de-capacitac-o-de-venezuelanos-vai-buscar-parcerias-para-empregar-formados-1.82577", "URL")</f>
        <v/>
      </c>
      <c r="K1876">
        <f>HYPERLINK("https://raw.githubusercontent.com/marcosmapl/dataset_imigrantes/main/noticias_filtered/a_critica/venezuelanos/2018/10_nov/html/1.82577_1370.html", "HTML")</f>
        <v/>
      </c>
      <c r="L1876">
        <f>HYPERLINK("https://raw.githubusercontent.com/marcosmapl/dataset_imigrantes/main/noticias_filtered/a_critica/venezuelanos/2018/10_nov/txt/1.82577_1370.txt", "TXT")</f>
        <v/>
      </c>
    </row>
    <row r="1877">
      <c r="A1877" s="1" t="n">
        <v>1875</v>
      </c>
      <c r="B1877" t="n">
        <v>2018</v>
      </c>
      <c r="C1877" s="2" t="n">
        <v>43411.53680555556</v>
      </c>
      <c r="D1877" t="inlineStr">
        <is>
          <t>PORTAL AMAZONIA</t>
        </is>
      </c>
      <c r="E1877" t="inlineStr">
        <is>
          <t>VENEZUELANOS</t>
        </is>
      </c>
      <c r="F1877" t="inlineStr">
        <is>
          <t>CIDADES</t>
        </is>
      </c>
      <c r="G1877" t="inlineStr">
        <is>
          <t>REDAÇÃO</t>
        </is>
      </c>
      <c r="H1877" t="inlineStr">
        <is>
          <t>PARÁ (PA) PROMOVE CURSO DE PORTUGUÊS PARA IMIGRANTES VENEZUELANOS</t>
        </is>
      </c>
      <c r="I1877" t="inlineStr">
        <is>
          <t>NA MANHÃ DESTA ULTIMA TERÇA-FEIRA (6), O GOVERNO DO ESTADO, ATRAVÉS DA SEJUDH, EM PARCEIRA COM O INSTITUTO FEDERAL DO PARÁ DEU INICIO AO CURSO DE CAPACITAÇÃO EM LÍNGUA PORTUGUESA COMO LÍNGUA ESTRANGEIRA PARA IMIGRANTES QUE ESTÃO EM SITUAÇÃO DE REFÚGI</t>
        </is>
      </c>
      <c r="J1877">
        <f>HYPERLINK("https://portalamazonia.com/noticias/cidades/para-pa-promove-curso-de-portugues-para-imigrantes-venezuelanos", "URL")</f>
        <v/>
      </c>
      <c r="K1877">
        <f>HYPERLINK("https://raw.githubusercontent.com/marcosmapl/dataset_imigrantes/main/noticias_filtered/portal_amazonia/venezuelanos/2018/10_nov/html/16164.16164_1468.html", "HTML")</f>
        <v/>
      </c>
      <c r="L1877">
        <f>HYPERLINK("https://raw.githubusercontent.com/marcosmapl/dataset_imigrantes/main/noticias_filtered/portal_amazonia/venezuelanos/2018/10_nov/txt/16164.16164_1468.txt", "TXT")</f>
        <v/>
      </c>
    </row>
    <row r="1878">
      <c r="A1878" s="1" t="n">
        <v>1876</v>
      </c>
      <c r="B1878" t="n">
        <v>2018</v>
      </c>
      <c r="C1878" s="2" t="n">
        <v>43410.73376690973</v>
      </c>
      <c r="D1878" t="inlineStr">
        <is>
          <t>G1</t>
        </is>
      </c>
      <c r="E1878" t="inlineStr">
        <is>
          <t>VENEZUELANOS</t>
        </is>
      </c>
      <c r="F1878" t="inlineStr">
        <is>
          <t>CEARÁ</t>
        </is>
      </c>
      <c r="G1878" t="inlineStr">
        <is>
          <t>G1 CE</t>
        </is>
      </c>
      <c r="H1878" t="inlineStr">
        <is>
          <t>VENEZUELANA MANTIDA EM CÁRCERE NO CE ERA PROIBIDA DE USAR BANHEIRO; MPF DENUNCIA TRÊS PESSOAS PELO CRIME</t>
        </is>
      </c>
      <c r="I1878" t="inlineStr">
        <is>
          <t>A VÍTIMA FICAVA TRANCADA EM RESIDÊNCIA DE PROFESSORA, EM JUAZEIRO DO NORTE, E SUBMETIDA A SITUAÇÕES DE HUMILHAÇÃO, SEGUNDO O MPF.</t>
        </is>
      </c>
      <c r="J1878">
        <f>HYPERLINK("https://g1.globo.com/ce/ceara/noticia/2018/11/06/venezuelana-mantida-em-carcere-no-ce-era-proibida-de-usar-banheiro-mpf-denuncia-tres-pessoas-pelo-crime.ghtml", "URL")</f>
        <v/>
      </c>
      <c r="K1878">
        <f>HYPERLINK("https://raw.githubusercontent.com/marcosmapl/dataset_imigrantes/main/noticias_filtered/g1/venezuelanos/2018/10_nov/html/g1_1ebfcfd8-232b-11ed-b24f-6dbe51e79fca_4223.html", "HTML")</f>
        <v/>
      </c>
      <c r="L1878">
        <f>HYPERLINK("https://raw.githubusercontent.com/marcosmapl/dataset_imigrantes/main/noticias_filtered/g1/venezuelanos/2018/10_nov/txt/g1_1ebfcfd8-232b-11ed-b24f-6dbe51e79fca_4223.txt", "TXT")</f>
        <v/>
      </c>
    </row>
    <row r="1879">
      <c r="A1879" s="1" t="n">
        <v>1877</v>
      </c>
      <c r="B1879" t="n">
        <v>2018</v>
      </c>
      <c r="C1879" s="2" t="n">
        <v>43410.60949074074</v>
      </c>
      <c r="D1879" t="inlineStr">
        <is>
          <t>A CRITICA</t>
        </is>
      </c>
      <c r="E1879" t="inlineStr">
        <is>
          <t>VENEZUELANOS</t>
        </is>
      </c>
      <c r="F1879" t="inlineStr"/>
      <c r="G1879" t="inlineStr">
        <is>
          <t>VINÍCIUS LISBOA (AGÊNCIA BRASIL)</t>
        </is>
      </c>
      <c r="H1879" t="inlineStr">
        <is>
          <t>BOLSONARO QUER FIXAR APOSENTADORIA EM 61 ANOS PARA HOMENS E 56 PARA MULHERES</t>
        </is>
      </c>
      <c r="I1879" t="inlineStr">
        <is>
          <t>O PRESIDENTE ELEITO DEFENDE APROVAÇÃO DA IDADE MÍNIMA À APOSENTADORIA E PREVÊ “MAJORAR” O BENEFÍCIO EM DETERMINADAS CARREIRAS QUE SERÃO ESPECIFICADAS</t>
        </is>
      </c>
      <c r="J1879">
        <f>HYPERLINK("https://www.acritica.com/bolsonaro-quer-fixar-aposentadoria-em-61-anos-para-homens-e-56-para-mulheres-1.82792", "URL")</f>
        <v/>
      </c>
      <c r="K1879">
        <f>HYPERLINK("https://raw.githubusercontent.com/marcosmapl/dataset_imigrantes/main/noticias_filtered/a_critica/venezuelanos/2018/10_nov/html/1.82792_110.html", "HTML")</f>
        <v/>
      </c>
      <c r="L1879">
        <f>HYPERLINK("https://raw.githubusercontent.com/marcosmapl/dataset_imigrantes/main/noticias_filtered/a_critica/venezuelanos/2018/10_nov/txt/1.82792_110.txt", "TXT")</f>
        <v/>
      </c>
    </row>
    <row r="1880">
      <c r="A1880" s="1" t="n">
        <v>1878</v>
      </c>
      <c r="B1880" t="n">
        <v>2018</v>
      </c>
      <c r="C1880" s="2" t="n">
        <v>43410.58678240741</v>
      </c>
      <c r="D1880" t="inlineStr">
        <is>
          <t>A CRITICA</t>
        </is>
      </c>
      <c r="E1880" t="inlineStr">
        <is>
          <t>VENEZUELANOS</t>
        </is>
      </c>
      <c r="F1880" t="inlineStr">
        <is>
          <t>MANAUS</t>
        </is>
      </c>
      <c r="G1880" t="inlineStr">
        <is>
          <t>ACRITICA.COM*</t>
        </is>
      </c>
      <c r="H1880" t="inlineStr">
        <is>
          <t>PRIMEIRO ABRIGO DO BRASIL PARA REFUGIADOS LGBTI ACOLHE VENEZUELANAS EM MANAUS</t>
        </is>
      </c>
      <c r="I1880" t="inlineStr">
        <is>
          <t>AGÊNCIA DA ONU PARA REFUGIADOS APOIOU A MONTAGEM DO ABRIGO DOANDO CAMA, COLCHÕES, VENTILADORES, MÁQUINA DE LAVAR ROUPA E UMA TELEVISÃO</t>
        </is>
      </c>
      <c r="J1880">
        <f>HYPERLINK("https://www.acritica.com/manaus/primeiro-abrigo-do-brasil-para-refugiados-lgbti-acolhe-venezuelanas-em-manaus-1.83027", "URL")</f>
        <v/>
      </c>
      <c r="K1880">
        <f>HYPERLINK("https://raw.githubusercontent.com/marcosmapl/dataset_imigrantes/main/noticias_filtered/a_critica/venezuelanos/2018/10_nov/html/1.83027_608.html", "HTML")</f>
        <v/>
      </c>
      <c r="L1880">
        <f>HYPERLINK("https://raw.githubusercontent.com/marcosmapl/dataset_imigrantes/main/noticias_filtered/a_critica/venezuelanos/2018/10_nov/txt/1.83027_608.txt", "TXT")</f>
        <v/>
      </c>
    </row>
    <row r="1881">
      <c r="A1881" s="1" t="n">
        <v>1879</v>
      </c>
      <c r="B1881" t="n">
        <v>2018</v>
      </c>
      <c r="C1881" s="2" t="n">
        <v>43409.44652777778</v>
      </c>
      <c r="D1881" t="inlineStr">
        <is>
          <t>PORTAL AMAZONIA</t>
        </is>
      </c>
      <c r="E1881" t="inlineStr">
        <is>
          <t>VENEZUELANOS</t>
        </is>
      </c>
      <c r="F1881" t="inlineStr">
        <is>
          <t>CIDADES</t>
        </is>
      </c>
      <c r="G1881" t="inlineStr">
        <is>
          <t>REDAÇÃO</t>
        </is>
      </c>
      <c r="H1881" t="inlineStr">
        <is>
          <t>VENEZUELANOS RECEBEM CERTIFICADOS DE CURSOS PROFISSIONALIZANTES EM MANAUS</t>
        </is>
      </c>
      <c r="I1881" t="inlineStr">
        <is>
          <t>EM MANAUS, NO AMAZONAS, CERCA DE 100 VENEZUELANOS PARTICIPANTES DO PROJETO OPORTUNIZAR RECEBEM NESTA SEGUNDA-FEIRA (5) OS CERTIFICADOS DE CONCLUSÃO DOS PRIMEIROS CURSOS PROFISSIONALIZANTES OFERECIDOS PELA INICIATIVA.A AÇÃO, QUE COMEÇOU EM AGOSTO DEST</t>
        </is>
      </c>
      <c r="J1881">
        <f>HYPERLINK("https://portalamazonia.com/noticias/cidades/venezuelanos-recebem-certificados-de-cursos-profissionalizantes-em-manaus", "URL")</f>
        <v/>
      </c>
      <c r="K1881">
        <f>HYPERLINK("https://raw.githubusercontent.com/marcosmapl/dataset_imigrantes/main/noticias_filtered/portal_amazonia/venezuelanos/2018/10_nov/html/16136.16136_1397.html", "HTML")</f>
        <v/>
      </c>
      <c r="L1881">
        <f>HYPERLINK("https://raw.githubusercontent.com/marcosmapl/dataset_imigrantes/main/noticias_filtered/portal_amazonia/venezuelanos/2018/10_nov/txt/16136.16136_1397.txt", "TXT")</f>
        <v/>
      </c>
    </row>
    <row r="1882">
      <c r="A1882" s="1" t="n">
        <v>1880</v>
      </c>
      <c r="B1882" t="n">
        <v>2018</v>
      </c>
      <c r="C1882" s="2" t="n">
        <v>43408.68882913194</v>
      </c>
      <c r="D1882" t="inlineStr">
        <is>
          <t>G1</t>
        </is>
      </c>
      <c r="E1882" t="inlineStr">
        <is>
          <t>HAITIANOS</t>
        </is>
      </c>
      <c r="F1882" t="inlineStr">
        <is>
          <t>MATO GROSSO</t>
        </is>
      </c>
      <c r="G1882" t="inlineStr">
        <is>
          <t>FLÁVIA BORGES, G1 MT</t>
        </is>
      </c>
      <c r="H1882" t="inlineStr">
        <is>
          <t>CANDIDATA CHORA AO CHEGAR ATRASADA EM LOCAL DE PROVA DO ENEM EM CUIABÁ E DIZ TER CONFUNDIDO HORÁRIO</t>
        </is>
      </c>
      <c r="I1882" t="inlineStr">
        <is>
          <t>MARIE MISSET AUGUSTE CHEGOU COM SETE MINUTOS DE ATRASO E DISSE QUE SE CONFUNDIU COM O HORÁRIO. ELA É HAITIANA E QUERIA FAZER O ENEM PARA CURSAR CIÊNCIAS CONTÁBEIS.</t>
        </is>
      </c>
      <c r="J1882">
        <f>HYPERLINK("https://g1.globo.com/mt/mato-grosso/noticia/2018/11/04/candidata-chora-ao-chegar-atrasada-em-local-de-prova-do-enem-em-cuiaba-e-diz-ter-confundido-horario.ghtml", "URL")</f>
        <v/>
      </c>
      <c r="K1882">
        <f>HYPERLINK("https://raw.githubusercontent.com/marcosmapl/dataset_imigrantes/main/noticias_filtered/g1/haitianos/2018/10_nov/html/g1_98cb1724-22b3-11ed-b24f-6dbe51e79fca_1642.html", "HTML")</f>
        <v/>
      </c>
      <c r="L1882">
        <f>HYPERLINK("https://raw.githubusercontent.com/marcosmapl/dataset_imigrantes/main/noticias_filtered/g1/haitianos/2018/10_nov/txt/g1_98cb1724-22b3-11ed-b24f-6dbe51e79fca_1642.txt", "TXT")</f>
        <v/>
      </c>
    </row>
    <row r="1883">
      <c r="A1883" s="1" t="n">
        <v>1881</v>
      </c>
      <c r="B1883" t="n">
        <v>2018</v>
      </c>
      <c r="C1883" s="2" t="n">
        <v>43408.61816553241</v>
      </c>
      <c r="D1883" t="inlineStr">
        <is>
          <t>G1</t>
        </is>
      </c>
      <c r="E1883" t="inlineStr">
        <is>
          <t>VENEZUELANOS</t>
        </is>
      </c>
      <c r="F1883" t="inlineStr">
        <is>
          <t>AMAZONAS</t>
        </is>
      </c>
      <c r="G1883" t="inlineStr">
        <is>
          <t>G1 AM</t>
        </is>
      </c>
      <c r="H1883" t="inlineStr">
        <is>
          <t>SEM EMPREGO, VENEZUELANA NO AM VENDE CANETAS DURANTE ENEM 2018 PARA  CONSEGUIR DINHEIRO</t>
        </is>
      </c>
      <c r="I1883" t="inlineStr">
        <is>
          <t>CAROLINA GARCIA, DE 29 ANOS, PRETENDE JUNTAR DINHEIRO PARA PAGAR ALUGUEL.</t>
        </is>
      </c>
      <c r="J1883">
        <f>HYPERLINK("https://g1.globo.com/am/amazonas/noticia/2018/11/04/sem-emprego-venezuelana-no-am-vende-canetas-durante-enem-2018-para-conseguir-dinheiro.ghtml", "URL")</f>
        <v/>
      </c>
      <c r="K1883">
        <f>HYPERLINK("https://raw.githubusercontent.com/marcosmapl/dataset_imigrantes/main/noticias_filtered/g1/venezuelanos/2018/10_nov/html/g1_5c56cfd0-2327-11ed-b24f-6dbe51e79fca_4030.html", "HTML")</f>
        <v/>
      </c>
      <c r="L1883">
        <f>HYPERLINK("https://raw.githubusercontent.com/marcosmapl/dataset_imigrantes/main/noticias_filtered/g1/venezuelanos/2018/10_nov/txt/g1_5c56cfd0-2327-11ed-b24f-6dbe51e79fca_4030.txt", "TXT")</f>
        <v/>
      </c>
    </row>
    <row r="1884">
      <c r="A1884" s="1" t="n">
        <v>1882</v>
      </c>
      <c r="B1884" t="n">
        <v>2018</v>
      </c>
      <c r="C1884" s="2" t="n">
        <v>43408.53080436343</v>
      </c>
      <c r="D1884" t="inlineStr">
        <is>
          <t>G1</t>
        </is>
      </c>
      <c r="E1884" t="inlineStr">
        <is>
          <t>HAITIANOS</t>
        </is>
      </c>
      <c r="F1884" t="inlineStr">
        <is>
          <t>MATO GROSSO DO SUL</t>
        </is>
      </c>
      <c r="G1884" t="inlineStr">
        <is>
          <t>FLÁVIO DIAS — CAMPO GRANDE MS</t>
        </is>
      </c>
      <c r="H1884" t="inlineStr">
        <is>
          <t>HAITIANO CHEGA 3 HORAS ANTES DE PORTÃO ABRIR PARA NÃO PERDER O ENEM EM MS: 'MINHA CHANCE DE ENTRAR EM UMA UNIVERSIDADE'</t>
        </is>
      </c>
      <c r="I1884" t="inlineStr">
        <is>
          <t>HÁ 6 ANOS VIVENDO EM CAMPO GRANDE, BERNARD DENORD QUER CURSAR ENGENHARIA ELÉTRICA; ELE PREFERIU LEVANTAR CEDO E CHEGAR COM TRANQUILIDADE PARA FAZER A PRIMEIRA ETAPA DO ENEM.</t>
        </is>
      </c>
      <c r="J1884">
        <f>HYPERLINK("https://g1.globo.com/ms/mato-grosso-do-sul/noticia/2018/11/04/haitiano-chega-3-horas-antes-de-portao-abrir-para-nao-perder-o-enem-em-ms-minha-chance-de-entrar-em-uma-universidade.ghtml", "URL")</f>
        <v/>
      </c>
      <c r="K1884">
        <f>HYPERLINK("https://raw.githubusercontent.com/marcosmapl/dataset_imigrantes/main/noticias_filtered/g1/haitianos/2018/10_nov/html/g1_fd96b4d6-22f1-11ed-b24f-6dbe51e79fca_1774.html", "HTML")</f>
        <v/>
      </c>
      <c r="L1884">
        <f>HYPERLINK("https://raw.githubusercontent.com/marcosmapl/dataset_imigrantes/main/noticias_filtered/g1/haitianos/2018/10_nov/txt/g1_fd96b4d6-22f1-11ed-b24f-6dbe51e79fca_1774.txt", "TXT")</f>
        <v/>
      </c>
    </row>
    <row r="1885">
      <c r="A1885" s="1" t="n">
        <v>1883</v>
      </c>
      <c r="B1885" t="n">
        <v>2018</v>
      </c>
      <c r="C1885" s="2" t="n">
        <v>43403.81736111111</v>
      </c>
      <c r="D1885" t="inlineStr">
        <is>
          <t>PORTAL AMAZONIA</t>
        </is>
      </c>
      <c r="E1885" t="inlineStr">
        <is>
          <t>VENEZUELANOS</t>
        </is>
      </c>
      <c r="F1885" t="inlineStr">
        <is>
          <t>CIDADES</t>
        </is>
      </c>
      <c r="G1885" t="inlineStr">
        <is>
          <t>REDAÇÃO</t>
        </is>
      </c>
      <c r="H1885" t="inlineStr">
        <is>
          <t>FORÇAS ARMADAS FICAM EM RORAIMA ATÉ DEZEMBRO</t>
        </is>
      </c>
      <c r="I1885" t="inlineStr">
        <is>
          <t>AS FORÇAS ARMADAS DEVEM PERMANECER EM RORAIMA ATÉ O FINAL DO ANO PARA PROTEGER INSTALAÇÕES E ATIVIDADES RELACIONADAS AO ACOLHIMENTO DE REFUGIADOS. DECRETO PRESIDENCIAL QUE PRORROGA O PRAZO DO EMPREGO DAS FORÇAS NA GARANTIA DA LEI E DA ORDEM (GLO) NO</t>
        </is>
      </c>
      <c r="J1885">
        <f>HYPERLINK("https://portalamazonia.com/noticias/cidades/forcas-armadas-ficam-em-roraima-ate-dezembro", "URL")</f>
        <v/>
      </c>
      <c r="K1885">
        <f>HYPERLINK("https://raw.githubusercontent.com/marcosmapl/dataset_imigrantes/main/noticias_filtered/portal_amazonia/venezuelanos/2018/09_out/html/16097.16097_1461.html", "HTML")</f>
        <v/>
      </c>
      <c r="L1885">
        <f>HYPERLINK("https://raw.githubusercontent.com/marcosmapl/dataset_imigrantes/main/noticias_filtered/portal_amazonia/venezuelanos/2018/09_out/txt/16097.16097_1461.txt", "TXT")</f>
        <v/>
      </c>
    </row>
    <row r="1886">
      <c r="A1886" s="1" t="n">
        <v>1884</v>
      </c>
      <c r="B1886" t="n">
        <v>2018</v>
      </c>
      <c r="C1886" s="2" t="n">
        <v>43402.95127314814</v>
      </c>
      <c r="D1886" t="inlineStr">
        <is>
          <t>A CRITICA</t>
        </is>
      </c>
      <c r="E1886" t="inlineStr">
        <is>
          <t>VENEZUELANOS</t>
        </is>
      </c>
      <c r="F1886" t="inlineStr">
        <is>
          <t>POLICIA</t>
        </is>
      </c>
      <c r="G1886" t="inlineStr">
        <is>
          <t>ACRÍTICA.COM</t>
        </is>
      </c>
      <c r="H1886" t="inlineStr">
        <is>
          <t>HOMEM É PRESO COM COCAÍNA E PASTA-BASE NO CONJ. AMAZONINO MENDES, EM MANAUS</t>
        </is>
      </c>
      <c r="I1886" t="inlineStr">
        <is>
          <t>COM O RAPAZ DE 24 ANOS, POLICIAIS TAMBÉM ENCONTRARAM UMA BALANÇA DE PRECISÃO, 100 BOLÍVARES E MATERIAL PARA EMBALO DE DROGAS</t>
        </is>
      </c>
      <c r="J1886">
        <f>HYPERLINK("https://www.acritica.com/policia/homem-e-preso-com-cocaina-e-pasta-base-no-conj-amazonino-mendes-em-manaus-1.95721", "URL")</f>
        <v/>
      </c>
      <c r="K1886">
        <f>HYPERLINK("https://raw.githubusercontent.com/marcosmapl/dataset_imigrantes/main/noticias_filtered/a_critica/venezuelanos/2018/09_out/html/1.95721_745.html", "HTML")</f>
        <v/>
      </c>
      <c r="L1886">
        <f>HYPERLINK("https://raw.githubusercontent.com/marcosmapl/dataset_imigrantes/main/noticias_filtered/a_critica/venezuelanos/2018/09_out/txt/1.95721_745.txt", "TXT")</f>
        <v/>
      </c>
    </row>
    <row r="1887">
      <c r="A1887" s="1" t="n">
        <v>1885</v>
      </c>
      <c r="B1887" t="n">
        <v>2018</v>
      </c>
      <c r="C1887" s="2" t="n">
        <v>43400.82042824074</v>
      </c>
      <c r="D1887" t="inlineStr">
        <is>
          <t>A CRITICA</t>
        </is>
      </c>
      <c r="E1887" t="inlineStr">
        <is>
          <t>VENEZUELANOS</t>
        </is>
      </c>
      <c r="F1887" t="inlineStr">
        <is>
          <t>MANAUS</t>
        </is>
      </c>
      <c r="G1887" t="inlineStr">
        <is>
          <t>LARISSA CAVALCANTE</t>
        </is>
      </c>
      <c r="H1887" t="inlineStr">
        <is>
          <t>GOVERNADOR TERÁ ORÇAMENTO DE R$ 16,8 BILHÕES PARA GERIR EM 2019</t>
        </is>
      </c>
      <c r="I1887" t="inlineStr">
        <is>
          <t>LEI ORÇAMENTÁRIA ANUAL (LOA) COM A RECEITA PREVISTA SERÁ ENCAMINHADA EM NOVEMBRO PARA DISCUSSÃO NA ASSEMBLEIA LEGISLATIVA DO ESTADO</t>
        </is>
      </c>
      <c r="J1887">
        <f>HYPERLINK("https://www.acritica.com/manaus/governador-tera-orcamento-de-r-16-8-bilh-es-para-gerir-em-2019-1.95680", "URL")</f>
        <v/>
      </c>
      <c r="K1887">
        <f>HYPERLINK("https://raw.githubusercontent.com/marcosmapl/dataset_imigrantes/main/noticias_filtered/a_critica/venezuelanos/2018/09_out/html/1.95680_1254.html", "HTML")</f>
        <v/>
      </c>
      <c r="L1887">
        <f>HYPERLINK("https://raw.githubusercontent.com/marcosmapl/dataset_imigrantes/main/noticias_filtered/a_critica/venezuelanos/2018/09_out/txt/1.95680_1254.txt", "TXT")</f>
        <v/>
      </c>
    </row>
    <row r="1888">
      <c r="A1888" s="1" t="n">
        <v>1886</v>
      </c>
      <c r="B1888" t="n">
        <v>2018</v>
      </c>
      <c r="C1888" s="2" t="n">
        <v>43398.95093969908</v>
      </c>
      <c r="D1888" t="inlineStr">
        <is>
          <t>G1</t>
        </is>
      </c>
      <c r="E1888" t="inlineStr">
        <is>
          <t>AMBOS</t>
        </is>
      </c>
      <c r="F1888" t="inlineStr">
        <is>
          <t>AMAZONAS</t>
        </is>
      </c>
      <c r="G1888" t="inlineStr">
        <is>
          <t>G1 AM</t>
        </is>
      </c>
      <c r="H1888" t="inlineStr">
        <is>
          <t>SEMANA MUNICIPAL DE SAÚDE BUCAL TERÁ PROGRAMAÇÃO ESPECIAL EM UBSS DE MANAUS</t>
        </is>
      </c>
      <c r="I1888" t="inlineStr">
        <is>
          <t>PROGRAMAÇÃO VAI ATÉ DIA 31 DE OUTUBRO NA CAPITAL AMAZONENSE.</t>
        </is>
      </c>
      <c r="J1888">
        <f>HYPERLINK("https://g1.globo.com/am/amazonas/noticia/2018/10/25/semana-municipal-de-saude-bucal-tera-programacao-especial-em-ubss-de-manaus.ghtml", "URL")</f>
        <v/>
      </c>
      <c r="K1888">
        <f>HYPERLINK("https://raw.githubusercontent.com/marcosmapl/dataset_imigrantes/main/noticias_filtered/g1/ambos/2018/09_out/html/g1_65692b3e-2329-11ed-b24f-6dbe51e79fca_4114.html", "HTML")</f>
        <v/>
      </c>
      <c r="L1888">
        <f>HYPERLINK("https://raw.githubusercontent.com/marcosmapl/dataset_imigrantes/main/noticias_filtered/g1/ambos/2018/09_out/txt/g1_65692b3e-2329-11ed-b24f-6dbe51e79fca_4114.txt", "TXT")</f>
        <v/>
      </c>
    </row>
    <row r="1889">
      <c r="A1889" s="1" t="n">
        <v>1887</v>
      </c>
      <c r="B1889" t="n">
        <v>2018</v>
      </c>
      <c r="C1889" s="2" t="n">
        <v>43398.88265046296</v>
      </c>
      <c r="D1889" t="inlineStr">
        <is>
          <t>A CRITICA</t>
        </is>
      </c>
      <c r="E1889" t="inlineStr">
        <is>
          <t>VENEZUELANOS</t>
        </is>
      </c>
      <c r="F1889" t="inlineStr"/>
      <c r="G1889" t="inlineStr">
        <is>
          <t>CAROLINA GONÇALVES E VLADIMIR PLATONOW (AGÊNCIA BRASIL)</t>
        </is>
      </c>
      <c r="H1889" t="inlineStr">
        <is>
          <t>JAIR BOLSONARO PROMETE 'DAR UM IPPON' NA CORRUPÇÃO, VIOLÊNCIA E IDEOLOGIA</t>
        </is>
      </c>
      <c r="I1889" t="inlineStr">
        <is>
          <t>A AFIRMAÇÃO FOI FEITA APÓS O CANDIDATO SER PRESENTEADO COM UMA FAIXA PRETA DE JIU-JITSU, DO MESTRE ROBSON GRACIE, CONSIDERADO UMA DAS MAIORES REFERÊNCIAS DE ARTES MARCIAIS NO MUNDO</t>
        </is>
      </c>
      <c r="J1889">
        <f>HYPERLINK("https://www.acritica.com/jair-bolsonaro-promete-dar-um-ippon-na-corrupc-o-violencia-e-ideologia-1.95518", "URL")</f>
        <v/>
      </c>
      <c r="K1889">
        <f>HYPERLINK("https://raw.githubusercontent.com/marcosmapl/dataset_imigrantes/main/noticias_filtered/a_critica/venezuelanos/2018/09_out/html/1.95518_66.html", "HTML")</f>
        <v/>
      </c>
      <c r="L1889">
        <f>HYPERLINK("https://raw.githubusercontent.com/marcosmapl/dataset_imigrantes/main/noticias_filtered/a_critica/venezuelanos/2018/09_out/txt/1.95518_66.txt", "TXT")</f>
        <v/>
      </c>
    </row>
    <row r="1890">
      <c r="A1890" s="1" t="n">
        <v>1888</v>
      </c>
      <c r="B1890" t="n">
        <v>2018</v>
      </c>
      <c r="C1890" s="2" t="n">
        <v>43397.69961805556</v>
      </c>
      <c r="D1890" t="inlineStr">
        <is>
          <t>A CRITICA</t>
        </is>
      </c>
      <c r="E1890" t="inlineStr">
        <is>
          <t>VENEZUELANOS</t>
        </is>
      </c>
      <c r="F1890" t="inlineStr">
        <is>
          <t>ESPORTES</t>
        </is>
      </c>
      <c r="G1890" t="inlineStr">
        <is>
          <t>ACRITICA.COM*</t>
        </is>
      </c>
      <c r="H1890" t="inlineStr">
        <is>
          <t>COM PASSAGEM PARA SÃO SILVESTRE, MANAUS COMEMORA 349 ANOS COM CORRIDA</t>
        </is>
      </c>
      <c r="I1890" t="inlineStr">
        <is>
          <t>OS VENCEDORES DAS OUTRAS CATEGORIAS RECEBERAM TROFÉUS E MEDALHAS, ASSIM, COMO OS DOIS MIL INSCRITOS RECEBERAM MEDALHA POR PARTICIPAÇÃO</t>
        </is>
      </c>
      <c r="J1890">
        <f>HYPERLINK("https://www.acritica.com/esportes/com-passagem-para-s-o-silvestre-manaus-comemora-349-anos-com-corrida-1.95231", "URL")</f>
        <v/>
      </c>
      <c r="K1890">
        <f>HYPERLINK("https://raw.githubusercontent.com/marcosmapl/dataset_imigrantes/main/noticias_filtered/a_critica/venezuelanos/2018/09_out/html/1.95231_285.html", "HTML")</f>
        <v/>
      </c>
      <c r="L1890">
        <f>HYPERLINK("https://raw.githubusercontent.com/marcosmapl/dataset_imigrantes/main/noticias_filtered/a_critica/venezuelanos/2018/09_out/txt/1.95231_285.txt", "TXT")</f>
        <v/>
      </c>
    </row>
    <row r="1891">
      <c r="A1891" s="1" t="n">
        <v>1889</v>
      </c>
      <c r="B1891" t="n">
        <v>2018</v>
      </c>
      <c r="C1891" s="2" t="n">
        <v>43397.00445230324</v>
      </c>
      <c r="D1891" t="inlineStr">
        <is>
          <t>G1</t>
        </is>
      </c>
      <c r="E1891" t="inlineStr">
        <is>
          <t>VENEZUELANOS</t>
        </is>
      </c>
      <c r="F1891" t="inlineStr">
        <is>
          <t>RORAIMA</t>
        </is>
      </c>
      <c r="G1891" t="inlineStr">
        <is>
          <t>G1 RR — BOA VISTA</t>
        </is>
      </c>
      <c r="H1891" t="inlineStr">
        <is>
          <t>CORPO DE VENEZUELANO QUE DESAPARECEU APÓS MERGULHAR EM RIO É ENCONTRADO</t>
        </is>
      </c>
      <c r="I1891" t="inlineStr">
        <is>
          <t>DIAN SANDVAN, DE 22 ANOS, SUMIU APÓS PULAR NO RIO. BOMBEIROS TAMBÉM ENCONTRARAM CORPO DE UM IDOSO DE 67 QUE DESAPARECEU DURANTE PESCARIA NO URARICOERA.</t>
        </is>
      </c>
      <c r="J1891">
        <f>HYPERLINK("https://g1.globo.com/rr/roraima/noticia/2018/10/23/corpo-de-venezuelano-que-desapareceu-apos-mergulhar-em-rio-e-encontrado.ghtml", "URL")</f>
        <v/>
      </c>
      <c r="K1891">
        <f>HYPERLINK("https://raw.githubusercontent.com/marcosmapl/dataset_imigrantes/main/noticias_filtered/g1/venezuelanos/2018/09_out/html/g1_d1d50fd4-2321-11ed-b24f-6dbe51e79fca_3719.html", "HTML")</f>
        <v/>
      </c>
      <c r="L1891">
        <f>HYPERLINK("https://raw.githubusercontent.com/marcosmapl/dataset_imigrantes/main/noticias_filtered/g1/venezuelanos/2018/09_out/txt/g1_d1d50fd4-2321-11ed-b24f-6dbe51e79fca_3719.txt", "TXT")</f>
        <v/>
      </c>
    </row>
    <row r="1892">
      <c r="A1892" s="1" t="n">
        <v>1890</v>
      </c>
      <c r="B1892" t="n">
        <v>2018</v>
      </c>
      <c r="C1892" s="2" t="n">
        <v>43396.88611111111</v>
      </c>
      <c r="D1892" t="inlineStr">
        <is>
          <t>A CRITICA</t>
        </is>
      </c>
      <c r="E1892" t="inlineStr">
        <is>
          <t>AMBOS</t>
        </is>
      </c>
      <c r="F1892" t="inlineStr">
        <is>
          <t>MANAUS</t>
        </is>
      </c>
      <c r="G1892" t="inlineStr">
        <is>
          <t>ACRITICA.COM*</t>
        </is>
      </c>
      <c r="H1892" t="inlineStr">
        <is>
          <t>SEMANA DA SAÚDE BUCAL TERÁ AÇÕES PARA CRIANÇAS, IMIGRANTES E REFUGIADOS EM MANAUS</t>
        </is>
      </c>
      <c r="I1892" t="inlineStr">
        <is>
          <t>A ABERTURA DA ATIVIDADE SERÁ REALIZADA NA MANHÃ DA PRÓXIMA QUINTA-FEIRA (25). EVENTO REÚNE SIMULTANEAMENTE AS SEMANAS ESTADUAL E MUNICIPAL, ALÉM DA SEMANA DO CIRURGIÃO-DENTISTA</t>
        </is>
      </c>
      <c r="J1892">
        <f>HYPERLINK("https://www.acritica.com/manaus/semana-da-saude-bucal-tera-ac-es-para-criancas-imigrantes-e-refugiados-em-manaus-1.95396", "URL")</f>
        <v/>
      </c>
      <c r="K1892">
        <f>HYPERLINK("https://raw.githubusercontent.com/marcosmapl/dataset_imigrantes/main/noticias_filtered/a_critica/ambos/2018/09_out/html/1.95396_843.html", "HTML")</f>
        <v/>
      </c>
      <c r="L1892">
        <f>HYPERLINK("https://raw.githubusercontent.com/marcosmapl/dataset_imigrantes/main/noticias_filtered/a_critica/ambos/2018/09_out/txt/1.95396_843.txt", "TXT")</f>
        <v/>
      </c>
    </row>
    <row r="1893">
      <c r="A1893" s="1" t="n">
        <v>1891</v>
      </c>
      <c r="B1893" t="n">
        <v>2018</v>
      </c>
      <c r="C1893" s="2" t="n">
        <v>43395.56717395833</v>
      </c>
      <c r="D1893" t="inlineStr">
        <is>
          <t>G1</t>
        </is>
      </c>
      <c r="E1893" t="inlineStr">
        <is>
          <t>VENEZUELANOS</t>
        </is>
      </c>
      <c r="F1893" t="inlineStr">
        <is>
          <t>RORAIMA</t>
        </is>
      </c>
      <c r="G1893" t="inlineStr">
        <is>
          <t>ALAN CHAVES, G1 RR — BOA VISTA</t>
        </is>
      </c>
      <c r="H1893" t="inlineStr">
        <is>
          <t>VENEZUELANO DESAPARECE EM BOA VISTA APÓS MERGULHAR EM RIO</t>
        </is>
      </c>
      <c r="I1893" t="inlineStr">
        <is>
          <t>SEGUNDO FAMILIARES, VÍTIMA ESTAVA EMBRIAGADA QUANDO PULOU NO LEITO DO RIO. BOMBEIROS FIZERAM BUSCAS ATÉ O INÍCIO DA NOITE, MAS DIAN SANDVAN AINDA NÃO FOI ENCONTRADO.</t>
        </is>
      </c>
      <c r="J1893">
        <f>HYPERLINK("https://g1.globo.com/rr/roraima/noticia/2018/10/22/venezuelano-desaparece-apos-mergulhar-no-rio-carana-em-boa-vista.ghtml", "URL")</f>
        <v/>
      </c>
      <c r="K1893">
        <f>HYPERLINK("https://raw.githubusercontent.com/marcosmapl/dataset_imigrantes/main/noticias_filtered/g1/venezuelanos/2018/09_out/html/g1_c1374f1a-232c-11ed-b24f-6dbe51e79fca_4324.html", "HTML")</f>
        <v/>
      </c>
      <c r="L1893">
        <f>HYPERLINK("https://raw.githubusercontent.com/marcosmapl/dataset_imigrantes/main/noticias_filtered/g1/venezuelanos/2018/09_out/txt/g1_c1374f1a-232c-11ed-b24f-6dbe51e79fca_4324.txt", "TXT")</f>
        <v/>
      </c>
    </row>
    <row r="1894">
      <c r="A1894" s="1" t="n">
        <v>1892</v>
      </c>
      <c r="B1894" t="n">
        <v>2018</v>
      </c>
      <c r="C1894" s="2" t="n">
        <v>43395.48196324074</v>
      </c>
      <c r="D1894" t="inlineStr">
        <is>
          <t>G1</t>
        </is>
      </c>
      <c r="E1894" t="inlineStr">
        <is>
          <t>HAITIANOS</t>
        </is>
      </c>
      <c r="F1894" t="inlineStr">
        <is>
          <t>MATO GROSSO</t>
        </is>
      </c>
      <c r="G1894" t="inlineStr">
        <is>
          <t>INDIANARA CAMPOS, TV CENTRO AMÉRICA</t>
        </is>
      </c>
      <c r="H1894" t="inlineStr">
        <is>
          <t>HAITIANO CHAMA A POLÍCIA APÓS ACHAR OSSADA HUMANA EM TERRENO NO CENTRO DE RONDONÓPOLIS (MT)</t>
        </is>
      </c>
      <c r="I1894" t="inlineStr">
        <is>
          <t>A POLÍCIA INVESTIGA SE OS RESTOS MORTAIS SÃO DE UM MORADOR, DE 35 ANOS, QUE ESTÁ DESAPARECIDO HÁ MAIS DE UM ANO.</t>
        </is>
      </c>
      <c r="J1894">
        <f>HYPERLINK("https://g1.globo.com/mt/mato-grosso/noticia/2018/10/22/haitiano-chama-a-policia-apos-achar-ossada-humana-em-terreno-no-centro-de-rondonopolis-mt.ghtml", "URL")</f>
        <v/>
      </c>
      <c r="K1894">
        <f>HYPERLINK("https://raw.githubusercontent.com/marcosmapl/dataset_imigrantes/main/noticias_filtered/g1/haitianos/2018/09_out/html/g1_f895a6da-22f2-11ed-b24f-6dbe51e79fca_1819.html", "HTML")</f>
        <v/>
      </c>
      <c r="L1894">
        <f>HYPERLINK("https://raw.githubusercontent.com/marcosmapl/dataset_imigrantes/main/noticias_filtered/g1/haitianos/2018/09_out/txt/g1_f895a6da-22f2-11ed-b24f-6dbe51e79fca_1819.txt", "TXT")</f>
        <v/>
      </c>
    </row>
    <row r="1895">
      <c r="A1895" s="1" t="n">
        <v>1893</v>
      </c>
      <c r="B1895" t="n">
        <v>2018</v>
      </c>
      <c r="C1895" s="2" t="n">
        <v>43394.60091435185</v>
      </c>
      <c r="D1895" t="inlineStr">
        <is>
          <t>A CRITICA</t>
        </is>
      </c>
      <c r="E1895" t="inlineStr">
        <is>
          <t>VENEZUELANOS</t>
        </is>
      </c>
      <c r="F1895" t="inlineStr"/>
      <c r="G1895" t="inlineStr">
        <is>
          <t>AGÊNCIA EFE</t>
        </is>
      </c>
      <c r="H1895" t="inlineStr">
        <is>
          <t>MADURO PEDE A TRUMP QUE ABRA FRONTEIRAS IMIGRANTES CENTRO-AMERICANOS</t>
        </is>
      </c>
      <c r="I1895" t="inlineStr">
        <is>
          <t>EM DISCURSO TRANSMITIDO DE FORMA OBRIGATÓRIA POR TODAS AS EMISSORAS, O PRESIDENTE VENEZUELANO AFIRMOU QUE O "CAPITALISMO VENDEDOR NEOCOLONIAL" É O RESPONSÁVEL POR PELA CRISE MIGRATÓRIA</t>
        </is>
      </c>
      <c r="J1895">
        <f>HYPERLINK("https://www.acritica.com/maduro-pede-a-trump-que-abra-fronteiras-imigrantes-centro-americanos-1.95019", "URL")</f>
        <v/>
      </c>
      <c r="K1895">
        <f>HYPERLINK("https://raw.githubusercontent.com/marcosmapl/dataset_imigrantes/main/noticias_filtered/a_critica/venezuelanos/2018/09_out/html/1.95019_1295.html", "HTML")</f>
        <v/>
      </c>
      <c r="L1895">
        <f>HYPERLINK("https://raw.githubusercontent.com/marcosmapl/dataset_imigrantes/main/noticias_filtered/a_critica/venezuelanos/2018/09_out/txt/1.95019_1295.txt", "TXT")</f>
        <v/>
      </c>
    </row>
    <row r="1896">
      <c r="A1896" s="1" t="n">
        <v>1894</v>
      </c>
      <c r="B1896" t="n">
        <v>2018</v>
      </c>
      <c r="C1896" s="2" t="n">
        <v>43393.75236111111</v>
      </c>
      <c r="D1896" t="inlineStr">
        <is>
          <t>A CRITICA</t>
        </is>
      </c>
      <c r="E1896" t="inlineStr">
        <is>
          <t>VENEZUELANOS</t>
        </is>
      </c>
      <c r="F1896" t="inlineStr"/>
      <c r="G1896" t="inlineStr">
        <is>
          <t>NIELMAR DE OLIVEIRA - AGÊNCIA BRASIL</t>
        </is>
      </c>
      <c r="H1896" t="inlineStr">
        <is>
          <t>BOLSONARO DEFENDE AUTONOMIA POLÍTICA DO BC E FIM DA REELEIÇÃO</t>
        </is>
      </c>
      <c r="I1896" t="inlineStr">
        <is>
          <t>PERGUNTADO SE TEM INTENÇÃO DE MANTER NO CARGO O PRESIDENTE DO BC, ILAN GOLDFAJN, CASO SEJA ELEITO, O CANDIDATO AFIRMOU QUE A DECISÃO CABE AO ECONOMISTA PAULO GUEDES</t>
        </is>
      </c>
      <c r="J1896">
        <f>HYPERLINK("https://www.acritica.com/bolsonaro-defende-autonomia-politica-do-bc-e-fim-da-reeleic-o-1.94810", "URL")</f>
        <v/>
      </c>
      <c r="K1896">
        <f>HYPERLINK("https://raw.githubusercontent.com/marcosmapl/dataset_imigrantes/main/noticias_filtered/a_critica/venezuelanos/2018/09_out/html/1.94810_545.html", "HTML")</f>
        <v/>
      </c>
      <c r="L1896">
        <f>HYPERLINK("https://raw.githubusercontent.com/marcosmapl/dataset_imigrantes/main/noticias_filtered/a_critica/venezuelanos/2018/09_out/txt/1.94810_545.txt", "TXT")</f>
        <v/>
      </c>
    </row>
    <row r="1897">
      <c r="A1897" s="1" t="n">
        <v>1895</v>
      </c>
      <c r="B1897" t="n">
        <v>2018</v>
      </c>
      <c r="C1897" s="2" t="n">
        <v>43392.72134259259</v>
      </c>
      <c r="D1897" t="inlineStr">
        <is>
          <t>A CRITICA</t>
        </is>
      </c>
      <c r="E1897" t="inlineStr">
        <is>
          <t>VENEZUELANOS</t>
        </is>
      </c>
      <c r="F1897" t="inlineStr">
        <is>
          <t>ENTRETENIMENTO</t>
        </is>
      </c>
      <c r="G1897" t="inlineStr">
        <is>
          <t>ACRITICA.COM*</t>
        </is>
      </c>
      <c r="H1897" t="inlineStr">
        <is>
          <t>ARTESÃOS PROMOVEM FEIRA EM COMEMORAÇÃO AOS 349 ANOS DE MANAUS</t>
        </is>
      </c>
      <c r="I1897" t="inlineStr">
        <is>
          <t>A NOVIDADE DESTA FEIRA É A EXPOSIÇÃO DE PRODUTOS ARTESANAIS DOS INDÍGENAS VENEZUELANOS DA TRIBO WARAO E TAMBÉM DE VENEZUELANOS NÃO-INDÍGENAS</t>
        </is>
      </c>
      <c r="J1897">
        <f>HYPERLINK("https://www.acritica.com/entretenimento/artes-os-promovem-feira-em-comemorac-o-aos-349-anos-de-manaus-1.94715", "URL")</f>
        <v/>
      </c>
      <c r="K1897">
        <f>HYPERLINK("https://raw.githubusercontent.com/marcosmapl/dataset_imigrantes/main/noticias_filtered/a_critica/venezuelanos/2018/09_out/html/1.94715_542.html", "HTML")</f>
        <v/>
      </c>
      <c r="L1897">
        <f>HYPERLINK("https://raw.githubusercontent.com/marcosmapl/dataset_imigrantes/main/noticias_filtered/a_critica/venezuelanos/2018/09_out/txt/1.94715_542.txt", "TXT")</f>
        <v/>
      </c>
    </row>
    <row r="1898">
      <c r="A1898" s="1" t="n">
        <v>1896</v>
      </c>
      <c r="B1898" t="n">
        <v>2018</v>
      </c>
      <c r="C1898" s="2" t="n">
        <v>43391.81111111111</v>
      </c>
      <c r="D1898" t="inlineStr">
        <is>
          <t>A CRITICA</t>
        </is>
      </c>
      <c r="E1898" t="inlineStr">
        <is>
          <t>VENEZUELANOS</t>
        </is>
      </c>
      <c r="F1898" t="inlineStr">
        <is>
          <t>MANAUS</t>
        </is>
      </c>
      <c r="G1898" t="inlineStr">
        <is>
          <t>PRISCILA ROSAS</t>
        </is>
      </c>
      <c r="H1898" t="inlineStr">
        <is>
          <t>JOVEM DE 22 ANOS COM INSUFICIÊNCIA RENAL BUSCA DOADOR DE RIM PARA SOBREVIVER</t>
        </is>
      </c>
      <c r="I1898" t="inlineStr">
        <is>
          <t>BIOMÉDICA ISABELLA ATHAYDE DESCOBRIU A DOENÇA DURANTE VIAGEM A VENEZUELA. DESDE LÁ A JOVEM LUTA CONTRA A DOENÇA QUE AFETA O FUNCIONAMENTO DOS RINS</t>
        </is>
      </c>
      <c r="J1898">
        <f>HYPERLINK("https://www.acritica.com/manaus/jovem-de-22-anos-com-insuficiencia-renal-busca-doador-de-rim-para-sobreviver-1.94602", "URL")</f>
        <v/>
      </c>
      <c r="K1898">
        <f>HYPERLINK("https://raw.githubusercontent.com/marcosmapl/dataset_imigrantes/main/noticias_filtered/a_critica/venezuelanos/2018/09_out/html/1.94602_49.html", "HTML")</f>
        <v/>
      </c>
      <c r="L1898">
        <f>HYPERLINK("https://raw.githubusercontent.com/marcosmapl/dataset_imigrantes/main/noticias_filtered/a_critica/venezuelanos/2018/09_out/txt/1.94602_49.txt", "TXT")</f>
        <v/>
      </c>
    </row>
    <row r="1899">
      <c r="A1899" s="1" t="n">
        <v>1897</v>
      </c>
      <c r="B1899" t="n">
        <v>2018</v>
      </c>
      <c r="C1899" s="2" t="n">
        <v>43391.63541666666</v>
      </c>
      <c r="D1899" t="inlineStr">
        <is>
          <t>A CRITICA</t>
        </is>
      </c>
      <c r="E1899" t="inlineStr">
        <is>
          <t>VENEZUELANOS</t>
        </is>
      </c>
      <c r="F1899" t="inlineStr"/>
      <c r="G1899" t="inlineStr">
        <is>
          <t>AKEMI NITAHARA (AGÊNCIA BRASIL)</t>
        </is>
      </c>
      <c r="H1899" t="inlineStr">
        <is>
          <t>BOLSONARO PASSA POR AVALIAÇÃO MÉDICA, MAS PERMANECE EXPECTATIVA SOBRE DEBATES</t>
        </is>
      </c>
      <c r="I1899" t="inlineStr">
        <is>
          <t>A ASSESSORIA DO CANDIDATO NÃO DEIXOU CLARO SE ELE PODE VOLTAR ÀS ATIVIDADES NORMAIS. ANÁLISE DOS MÉDICOS VAI DEFINIR A PARTICIPAÇÃO DELE EM DEBATES NA TV</t>
        </is>
      </c>
      <c r="J1899">
        <f>HYPERLINK("https://www.acritica.com/bolsonaro-passa-por-avaliac-o-medica-mas-permanece-expectativa-sobre-debates-1.94645", "URL")</f>
        <v/>
      </c>
      <c r="K1899">
        <f>HYPERLINK("https://raw.githubusercontent.com/marcosmapl/dataset_imigrantes/main/noticias_filtered/a_critica/venezuelanos/2018/09_out/html/1.94645_934.html", "HTML")</f>
        <v/>
      </c>
      <c r="L1899">
        <f>HYPERLINK("https://raw.githubusercontent.com/marcosmapl/dataset_imigrantes/main/noticias_filtered/a_critica/venezuelanos/2018/09_out/txt/1.94645_934.txt", "TXT")</f>
        <v/>
      </c>
    </row>
    <row r="1900">
      <c r="A1900" s="1" t="n">
        <v>1898</v>
      </c>
      <c r="B1900" t="n">
        <v>2018</v>
      </c>
      <c r="C1900" s="2" t="n">
        <v>43390.91423611111</v>
      </c>
      <c r="D1900" t="inlineStr">
        <is>
          <t>A CRITICA</t>
        </is>
      </c>
      <c r="E1900" t="inlineStr">
        <is>
          <t>VENEZUELANOS</t>
        </is>
      </c>
      <c r="F1900" t="inlineStr">
        <is>
          <t>MANAUS</t>
        </is>
      </c>
      <c r="G1900" t="inlineStr">
        <is>
          <t>ACRÍTICA.COM</t>
        </is>
      </c>
      <c r="H1900" t="inlineStr">
        <is>
          <t>UNIVERSITÁRIOS OFERECEM SERVIÇOS DE SAÚDE NO CENTRO DE MANAUS NESTA QUINTA (18)</t>
        </is>
      </c>
      <c r="I1900" t="inlineStr">
        <is>
          <t>HAVERÁ SERVIÇOS DE AFERIÇÃO DE PRESSÃO ARTERIAL, VERIFICAÇÃO DE GLICEMIA, ORIENTAÇÃO DE SAÚDE BUCAL, NUTRIÇÃO E PREVENÇÃO DE DOENÇAS SEXUALMENTE TRANSMISSÍVEL, AVALIAÇÃO DE POSTURA, AUDIÇÃO, TESTES PARASITOLÓGICOS E ATENDIMENTO VETERINÁRIO</t>
        </is>
      </c>
      <c r="J1900">
        <f>HYPERLINK("https://www.acritica.com/manaus/universitarios-oferecem-servicos-de-saude-no-centro-de-manaus-nesta-quinta-18-1.94489", "URL")</f>
        <v/>
      </c>
      <c r="K1900">
        <f>HYPERLINK("https://raw.githubusercontent.com/marcosmapl/dataset_imigrantes/main/noticias_filtered/a_critica/venezuelanos/2018/09_out/html/1.94489_1151.html", "HTML")</f>
        <v/>
      </c>
      <c r="L1900">
        <f>HYPERLINK("https://raw.githubusercontent.com/marcosmapl/dataset_imigrantes/main/noticias_filtered/a_critica/venezuelanos/2018/09_out/txt/1.94489_1151.txt", "TXT")</f>
        <v/>
      </c>
    </row>
    <row r="1901">
      <c r="A1901" s="1" t="n">
        <v>1899</v>
      </c>
      <c r="B1901" t="n">
        <v>2018</v>
      </c>
      <c r="C1901" s="2" t="n">
        <v>43390.46760416667</v>
      </c>
      <c r="D1901" t="inlineStr">
        <is>
          <t>A CRITICA</t>
        </is>
      </c>
      <c r="E1901" t="inlineStr">
        <is>
          <t>VENEZUELANOS</t>
        </is>
      </c>
      <c r="F1901" t="inlineStr">
        <is>
          <t>OPINIAO</t>
        </is>
      </c>
      <c r="G1901" t="inlineStr"/>
      <c r="H1901" t="inlineStr">
        <is>
          <t>A IMIGRAÇÃO E OS DRAMAS HUMANOS VIVIDOS POR VENEZUELANOS EM MANAUS</t>
        </is>
      </c>
      <c r="I1901" t="inlineStr"/>
      <c r="J1901">
        <f>HYPERLINK("https://www.acritica.com/opiniao/a-imigrac-o-e-os-dramas-humanos-vividos-por-venezuelanos-em-manaus-1.228653", "URL")</f>
        <v/>
      </c>
      <c r="K1901">
        <f>HYPERLINK("https://raw.githubusercontent.com/marcosmapl/dataset_imigrantes/main/noticias_filtered/a_critica/venezuelanos/2018/09_out/html/1.228653_454.html", "HTML")</f>
        <v/>
      </c>
      <c r="L1901">
        <f>HYPERLINK("https://raw.githubusercontent.com/marcosmapl/dataset_imigrantes/main/noticias_filtered/a_critica/venezuelanos/2018/09_out/txt/1.228653_454.txt", "TXT")</f>
        <v/>
      </c>
    </row>
    <row r="1902">
      <c r="A1902" s="1" t="n">
        <v>1900</v>
      </c>
      <c r="B1902" t="n">
        <v>2018</v>
      </c>
      <c r="C1902" s="2" t="n">
        <v>43388.85651966435</v>
      </c>
      <c r="D1902" t="inlineStr">
        <is>
          <t>G1</t>
        </is>
      </c>
      <c r="E1902" t="inlineStr">
        <is>
          <t>VENEZUELANOS</t>
        </is>
      </c>
      <c r="F1902" t="inlineStr">
        <is>
          <t>RORAIMA</t>
        </is>
      </c>
      <c r="G1902" t="inlineStr">
        <is>
          <t>G1 RR</t>
        </is>
      </c>
      <c r="H1902" t="inlineStr">
        <is>
          <t>JOVEM VENEZUELANA É MORTA COM PAULADAS NO ROSTO NA ZONA SUL DE BOA VISTA</t>
        </is>
      </c>
      <c r="I1902" t="inlineStr">
        <is>
          <t>LEONARDA GONZALES RIVAS, DE 18 ANOS, FOI ENCONTRADA NA CABECEIRA DA PONTE DOS MACUXI. NAMORADO DA VÍTIMA É SUSPEITO DE TER COMETIDO O CRIME.</t>
        </is>
      </c>
      <c r="J1902">
        <f>HYPERLINK("https://g1.globo.com/rr/roraima/noticia/2018/10/15/jovem-venezuelana-e-morta-com-pauladas-no-rosto-na-zona-sul-de-boa-vista.ghtml", "URL")</f>
        <v/>
      </c>
      <c r="K1902">
        <f>HYPERLINK("https://raw.githubusercontent.com/marcosmapl/dataset_imigrantes/main/noticias_filtered/g1/venezuelanos/2018/09_out/html/g1_65d67eb2-2321-11ed-b24f-6dbe51e79fca_3696.html", "HTML")</f>
        <v/>
      </c>
      <c r="L1902">
        <f>HYPERLINK("https://raw.githubusercontent.com/marcosmapl/dataset_imigrantes/main/noticias_filtered/g1/venezuelanos/2018/09_out/txt/g1_65d67eb2-2321-11ed-b24f-6dbe51e79fca_3696.txt", "TXT")</f>
        <v/>
      </c>
    </row>
    <row r="1903">
      <c r="A1903" s="1" t="n">
        <v>1901</v>
      </c>
      <c r="B1903" t="n">
        <v>2018</v>
      </c>
      <c r="C1903" s="2" t="n">
        <v>43388.79899305556</v>
      </c>
      <c r="D1903" t="inlineStr">
        <is>
          <t>A CRITICA</t>
        </is>
      </c>
      <c r="E1903" t="inlineStr">
        <is>
          <t>VENEZUELANOS</t>
        </is>
      </c>
      <c r="F1903" t="inlineStr">
        <is>
          <t>MANAUS</t>
        </is>
      </c>
      <c r="G1903" t="inlineStr">
        <is>
          <t>ACRÍTICA.COM</t>
        </is>
      </c>
      <c r="H1903" t="inlineStr">
        <is>
          <t>VENEZUELANO QUE ESTAVA NO AMAZONAS DESAPARECE APÓS VIAGEM PARA RORAIMA</t>
        </is>
      </c>
      <c r="I1903" t="inlineStr">
        <is>
          <t>DA ÚLTIMA VEZ QUE MANTEVE CONTATO COM A COMPANHEIRA,  ELIECER DE JESUS GUTIERREZ VELASQUEZ, 24, ESTAVA DE CARONA, MAS NÃO SABIA DIZER O LOCAL ONDE ESTAVA</t>
        </is>
      </c>
      <c r="J1903">
        <f>HYPERLINK("https://www.acritica.com/manaus/venezuelano-que-estava-no-amazonas-desaparece-apos-viagem-para-roraima-1.94018", "URL")</f>
        <v/>
      </c>
      <c r="K1903">
        <f>HYPERLINK("https://raw.githubusercontent.com/marcosmapl/dataset_imigrantes/main/noticias_filtered/a_critica/venezuelanos/2018/09_out/html/1.94018_764.html", "HTML")</f>
        <v/>
      </c>
      <c r="L1903">
        <f>HYPERLINK("https://raw.githubusercontent.com/marcosmapl/dataset_imigrantes/main/noticias_filtered/a_critica/venezuelanos/2018/09_out/txt/1.94018_764.txt", "TXT")</f>
        <v/>
      </c>
    </row>
    <row r="1904">
      <c r="A1904" s="1" t="n">
        <v>1902</v>
      </c>
      <c r="B1904" t="n">
        <v>2018</v>
      </c>
      <c r="C1904" s="2" t="n">
        <v>43386.90036061343</v>
      </c>
      <c r="D1904" t="inlineStr">
        <is>
          <t>G1</t>
        </is>
      </c>
      <c r="E1904" t="inlineStr">
        <is>
          <t>VENEZUELANOS</t>
        </is>
      </c>
      <c r="F1904" t="inlineStr">
        <is>
          <t>RORAIMA</t>
        </is>
      </c>
      <c r="G1904" t="inlineStr">
        <is>
          <t>G1 RR — BOA VISTA</t>
        </is>
      </c>
      <c r="H1904" t="inlineStr">
        <is>
          <t>VENEZUELANA É ENCONTRADA MORTA DENTRO DE LAGOA NA ZONA OESTE DE BOA VISTA</t>
        </is>
      </c>
      <c r="I1904" t="inlineStr">
        <is>
          <t>MILANGELA MARTINS GIL, DE 23 ANOS, ESTAVA DESAPARECIDA DESDE A QUINTA (11) E TRABALHAVA EM UMA EMPRESA PRÓXIMO AO LOCAL ONDE FOI ENCONTRADA MORTA.</t>
        </is>
      </c>
      <c r="J1904">
        <f>HYPERLINK("https://g1.globo.com/rr/roraima/noticia/2018/10/13/venezuelana-e-encontrada-morta-dentro-de-lagoa-na-zona-oeste-de-boa-vista.ghtml", "URL")</f>
        <v/>
      </c>
      <c r="K1904">
        <f>HYPERLINK("https://raw.githubusercontent.com/marcosmapl/dataset_imigrantes/main/noticias_filtered/g1/venezuelanos/2018/09_out/html/g1_c609a8b4-2311-11ed-b24f-6dbe51e79fca_2934.html", "HTML")</f>
        <v/>
      </c>
      <c r="L1904">
        <f>HYPERLINK("https://raw.githubusercontent.com/marcosmapl/dataset_imigrantes/main/noticias_filtered/g1/venezuelanos/2018/09_out/txt/g1_c609a8b4-2311-11ed-b24f-6dbe51e79fca_2934.txt", "TXT")</f>
        <v/>
      </c>
    </row>
    <row r="1905">
      <c r="A1905" s="1" t="n">
        <v>1903</v>
      </c>
      <c r="B1905" t="n">
        <v>2018</v>
      </c>
      <c r="C1905" s="2" t="n">
        <v>43386.00233796296</v>
      </c>
      <c r="D1905" t="inlineStr">
        <is>
          <t>A CRITICA</t>
        </is>
      </c>
      <c r="E1905" t="inlineStr">
        <is>
          <t>VENEZUELANOS</t>
        </is>
      </c>
      <c r="F1905" t="inlineStr">
        <is>
          <t>ESPORTES</t>
        </is>
      </c>
      <c r="G1905" t="inlineStr">
        <is>
          <t>DENIR SIMPLÍCIO</t>
        </is>
      </c>
      <c r="H1905" t="inlineStr">
        <is>
          <t>'BATALHA DO ABACAXI': 3B VENCE IRANDUBA POR 3 A 2 NA ARENA DA AMAZÔNIA</t>
        </is>
      </c>
      <c r="I1905" t="inlineStr">
        <is>
          <t>EM TARDE PRA LÁ DE INSPIRADA DA ATACANTE PAOLA VILLAMIZAR, AUTORA DOS TRÊS GOLS DO 3B, O TIME COMANDADO POR SÉRGIO DUARTE MANTEVE O TABU DE JAMAIS TER PERDIDO PARA O RIVAL DESDE QUE INGRESSOU AO FUTEBOL PROFISSIONAL</t>
        </is>
      </c>
      <c r="J1905">
        <f>HYPERLINK("https://www.acritica.com/esportes/batalha-do-abacaxi-3b-vence-iranduba-por-3-a-2-na-arena-da-amazonia-1.93977", "URL")</f>
        <v/>
      </c>
      <c r="K1905">
        <f>HYPERLINK("https://raw.githubusercontent.com/marcosmapl/dataset_imigrantes/main/noticias_filtered/a_critica/venezuelanos/2018/09_out/html/1.93977_711.html", "HTML")</f>
        <v/>
      </c>
      <c r="L1905">
        <f>HYPERLINK("https://raw.githubusercontent.com/marcosmapl/dataset_imigrantes/main/noticias_filtered/a_critica/venezuelanos/2018/09_out/txt/1.93977_711.txt", "TXT")</f>
        <v/>
      </c>
    </row>
    <row r="1906">
      <c r="A1906" s="1" t="n">
        <v>1904</v>
      </c>
      <c r="B1906" t="n">
        <v>2018</v>
      </c>
      <c r="C1906" s="2" t="n">
        <v>43384.79930555556</v>
      </c>
      <c r="D1906" t="inlineStr">
        <is>
          <t>PORTAL AMAZONIA</t>
        </is>
      </c>
      <c r="E1906" t="inlineStr">
        <is>
          <t>VENEZUELANOS</t>
        </is>
      </c>
      <c r="F1906" t="inlineStr">
        <is>
          <t>CIDADES</t>
        </is>
      </c>
      <c r="G1906" t="inlineStr">
        <is>
          <t>REDAÇÃO</t>
        </is>
      </c>
      <c r="H1906" t="inlineStr">
        <is>
          <t>MME ABRE CONSULTA PÚBLICA PARA LEILÃO DE ENERGIA EM RORAIMA</t>
        </is>
      </c>
      <c r="I1906" t="inlineStr">
        <is>
          <t>O MINISTÉRIO DE MINAS E ENERGIA (MME) ABRIU NESTA QUINTA-FEIRA (11) CONSULTA PÚBLICA PARA RECEBER CONTRIBUIÇÕES SOBRE AS REGRAS E DIRETRIZES DO LEILÃO DE SUPRIMENTO DE ENERGIA A BOA VISTA, RORAIMA, A PARTIR DE 2021. AS CONTRIBUIÇÕES PODEM SER FEITAS</t>
        </is>
      </c>
      <c r="J1906">
        <f>HYPERLINK("https://portalamazonia.com/noticias/cidades/mme-abre-consulta-publica-para-leilao-de-energia-em-roraima", "URL")</f>
        <v/>
      </c>
      <c r="K1906">
        <f>HYPERLINK("https://raw.githubusercontent.com/marcosmapl/dataset_imigrantes/main/noticias_filtered/portal_amazonia/venezuelanos/2018/09_out/html/15949.15949_1479.html", "HTML")</f>
        <v/>
      </c>
      <c r="L1906">
        <f>HYPERLINK("https://raw.githubusercontent.com/marcosmapl/dataset_imigrantes/main/noticias_filtered/portal_amazonia/venezuelanos/2018/09_out/txt/15949.15949_1479.txt", "TXT")</f>
        <v/>
      </c>
    </row>
    <row r="1907">
      <c r="A1907" s="1" t="n">
        <v>1905</v>
      </c>
      <c r="B1907" t="n">
        <v>2018</v>
      </c>
      <c r="C1907" s="2" t="n">
        <v>43384.00486111111</v>
      </c>
      <c r="D1907" t="inlineStr">
        <is>
          <t>A CRITICA</t>
        </is>
      </c>
      <c r="E1907" t="inlineStr">
        <is>
          <t>VENEZUELANOS</t>
        </is>
      </c>
      <c r="F1907" t="inlineStr">
        <is>
          <t>ESPORTES</t>
        </is>
      </c>
      <c r="G1907" t="inlineStr">
        <is>
          <t>DENIR SIMPLÍCIO</t>
        </is>
      </c>
      <c r="H1907" t="inlineStr">
        <is>
          <t>3B ATROPELA O ATLÉTICO AMAZONENSE E GARANTE VAGA NA FINAL DO BAREZÃO FEMININO</t>
        </is>
      </c>
      <c r="I1907" t="inlineStr">
        <is>
          <t>REFORÇADA PELAS MEIAS MARI PIRES E RAFINHA, A FERA REPETIRÁ A FINAL DO ANO PASSADO CONTRA O IRANDUBA, ATUAL HEXACAMPEÃO DO TORNEIO.</t>
        </is>
      </c>
      <c r="J1907">
        <f>HYPERLINK("https://www.acritica.com/esportes/3b-atropela-o-atletico-amazonense-e-garante-vaga-na-final-do-barez-o-feminino-1.93645", "URL")</f>
        <v/>
      </c>
      <c r="K1907">
        <f>HYPERLINK("https://raw.githubusercontent.com/marcosmapl/dataset_imigrantes/main/noticias_filtered/a_critica/venezuelanos/2018/09_out/html/1.93645_856.html", "HTML")</f>
        <v/>
      </c>
      <c r="L1907">
        <f>HYPERLINK("https://raw.githubusercontent.com/marcosmapl/dataset_imigrantes/main/noticias_filtered/a_critica/venezuelanos/2018/09_out/txt/1.93645_856.txt", "TXT")</f>
        <v/>
      </c>
    </row>
    <row r="1908">
      <c r="A1908" s="1" t="n">
        <v>1906</v>
      </c>
      <c r="B1908" t="n">
        <v>2018</v>
      </c>
      <c r="C1908" s="2" t="n">
        <v>43383.86135226852</v>
      </c>
      <c r="D1908" t="inlineStr">
        <is>
          <t>G1</t>
        </is>
      </c>
      <c r="E1908" t="inlineStr">
        <is>
          <t>VENEZUELANOS</t>
        </is>
      </c>
      <c r="F1908" t="inlineStr">
        <is>
          <t>CEARÁ</t>
        </is>
      </c>
      <c r="G1908" t="inlineStr">
        <is>
          <t>RANNIERY MELO, G1 CE</t>
        </is>
      </c>
      <c r="H1908" t="inlineStr">
        <is>
          <t>VENEZUELANA MANTIDA SOB TRABALHO SIMILAR AO DE ESCRAVO É ACOLHIDA POR NOVA FAMÍLIA EM FORTALEZA</t>
        </is>
      </c>
      <c r="I1908" t="inlineStr">
        <is>
          <t>A ORGANIZAÇÃO QUE TROUXE A ESTRANGEIRA PARA O CEARÁ JÁ REALIZOU MAIS DE 180 ACOLHIMENTOS DO TIPO E DIZ QUE CASO É UM FATO ISOLADO.</t>
        </is>
      </c>
      <c r="J1908">
        <f>HYPERLINK("https://g1.globo.com/ce/ceara/noticia/2018/10/10/venezuelana-mantida-sob-trabalho-similar-ao-de-escravo-e-acolhida-por-nova-familia-em-fortaleza.ghtml", "URL")</f>
        <v/>
      </c>
      <c r="K1908">
        <f>HYPERLINK("https://raw.githubusercontent.com/marcosmapl/dataset_imigrantes/main/noticias_filtered/g1/venezuelanos/2018/09_out/html/g1_08a0bd06-2318-11ed-b24f-6dbe51e79fca_3240.html", "HTML")</f>
        <v/>
      </c>
      <c r="L1908">
        <f>HYPERLINK("https://raw.githubusercontent.com/marcosmapl/dataset_imigrantes/main/noticias_filtered/g1/venezuelanos/2018/09_out/txt/g1_08a0bd06-2318-11ed-b24f-6dbe51e79fca_3240.txt", "TXT")</f>
        <v/>
      </c>
    </row>
    <row r="1909">
      <c r="A1909" s="1" t="n">
        <v>1907</v>
      </c>
      <c r="B1909" t="n">
        <v>2018</v>
      </c>
      <c r="C1909" s="2" t="n">
        <v>43383.79073225694</v>
      </c>
      <c r="D1909" t="inlineStr">
        <is>
          <t>G1</t>
        </is>
      </c>
      <c r="E1909" t="inlineStr">
        <is>
          <t>VENEZUELANOS</t>
        </is>
      </c>
      <c r="F1909" t="inlineStr">
        <is>
          <t>RORAIMA</t>
        </is>
      </c>
      <c r="G1909" t="inlineStr">
        <is>
          <t>G1 RR</t>
        </is>
      </c>
      <c r="H1909" t="inlineStr">
        <is>
          <t>AÇÃO SOLIDÁRIA DISTRIBUI BRINQUEDOS PARA CRIANÇAS VENEZUELANAS EM BOA VISTA</t>
        </is>
      </c>
      <c r="I1909" t="inlineStr">
        <is>
          <t>SERÃO DISTRIBUÍDOS 120 BRINQUEDOS, NA SEDE DO IMDH EM BOA VISTA. AÇÃO TAMBÉM CONTARÁ COM DISTRIBUIÇÃO DE LANCHES E ATIVIDADES RECREATIVAS.</t>
        </is>
      </c>
      <c r="J1909">
        <f>HYPERLINK("https://g1.globo.com/rr/roraima/noticia/2018/10/10/acao-solidaria-distribui-brinquedos-para-criancas-venezuelanas-em-boa-vista.ghtml", "URL")</f>
        <v/>
      </c>
      <c r="K1909">
        <f>HYPERLINK("https://raw.githubusercontent.com/marcosmapl/dataset_imigrantes/main/noticias_filtered/g1/venezuelanos/2018/09_out/html/g1_cb4038d4-2316-11ed-b24f-6dbe51e79fca_3170.html", "HTML")</f>
        <v/>
      </c>
      <c r="L1909">
        <f>HYPERLINK("https://raw.githubusercontent.com/marcosmapl/dataset_imigrantes/main/noticias_filtered/g1/venezuelanos/2018/09_out/txt/g1_cb4038d4-2316-11ed-b24f-6dbe51e79fca_3170.txt", "TXT")</f>
        <v/>
      </c>
    </row>
    <row r="1910">
      <c r="A1910" s="1" t="n">
        <v>1908</v>
      </c>
      <c r="B1910" t="n">
        <v>2018</v>
      </c>
      <c r="C1910" s="2" t="n">
        <v>43383.7423462037</v>
      </c>
      <c r="D1910" t="inlineStr">
        <is>
          <t>G1</t>
        </is>
      </c>
      <c r="E1910" t="inlineStr">
        <is>
          <t>VENEZUELANOS</t>
        </is>
      </c>
      <c r="F1910" t="inlineStr">
        <is>
          <t>RORAIMA</t>
        </is>
      </c>
      <c r="G1910" t="inlineStr">
        <is>
          <t>EMILY COSTA, G1 RR — BOA VISTA</t>
        </is>
      </c>
      <c r="H1910" t="inlineStr">
        <is>
          <t>RORAIMA VOLTA À ENERGIA VENEZUELANA POR ECONOMIA E APAGÕES SÃO REGISTRADOS</t>
        </is>
      </c>
      <c r="I1910" t="inlineStr">
        <is>
          <t>DESDE A SEGUNDA (8), LINHÃO DE GURI PASSOU A ABASTECER RORAIMA DAS 18H ÀS 6H; NO HORÁRIO OPOSTO, TÉRMICAS SÃO ATIVADAS. APÓS SÉRIE DE APAGÕES, ELETROBRAS TINHA SUSPENDIDO USO DO LINHÃO EM 16 DE SETEMBRO.</t>
        </is>
      </c>
      <c r="J1910">
        <f>HYPERLINK("https://g1.globo.com/rr/roraima/noticia/2018/10/10/rr-voltou-a-energia-venezuelana-por-economia-diz-eletrobras-apagoes-sao-registrados.ghtml", "URL")</f>
        <v/>
      </c>
      <c r="K1910">
        <f>HYPERLINK("https://raw.githubusercontent.com/marcosmapl/dataset_imigrantes/main/noticias_filtered/g1/venezuelanos/2018/09_out/html/g1_0ed169c0-232a-11ed-b24f-6dbe51e79fca_4154.html", "HTML")</f>
        <v/>
      </c>
      <c r="L1910">
        <f>HYPERLINK("https://raw.githubusercontent.com/marcosmapl/dataset_imigrantes/main/noticias_filtered/g1/venezuelanos/2018/09_out/txt/g1_0ed169c0-232a-11ed-b24f-6dbe51e79fca_4154.txt", "TXT")</f>
        <v/>
      </c>
    </row>
    <row r="1911">
      <c r="A1911" s="1" t="n">
        <v>1909</v>
      </c>
      <c r="B1911" t="n">
        <v>2018</v>
      </c>
      <c r="C1911" s="2" t="n">
        <v>43383.63809997685</v>
      </c>
      <c r="D1911" t="inlineStr">
        <is>
          <t>G1</t>
        </is>
      </c>
      <c r="E1911" t="inlineStr">
        <is>
          <t>VENEZUELANOS</t>
        </is>
      </c>
      <c r="F1911" t="inlineStr">
        <is>
          <t>MUNDO</t>
        </is>
      </c>
      <c r="G1911" t="inlineStr">
        <is>
          <t>FRANCE PRESSE</t>
        </is>
      </c>
      <c r="H1911" t="inlineStr">
        <is>
          <t>EUA CONDENAM 'ENVOLVIMENTO' DO GOVERNO DA VENEZUELA NA MORTE DE OPOSITOR</t>
        </is>
      </c>
      <c r="I1911" t="inlineStr">
        <is>
          <t>MP VENEZUELANO DIZ QUE ELE SE JOGOU DO 10º ANDAR DE PRÉDIO DO SERVIÇO DE INTELIGÊNCIA. OPOSIÇÃO CONTESTA.</t>
        </is>
      </c>
      <c r="J1911">
        <f>HYPERLINK("https://g1.globo.com/mundo/noticia/2018/10/10/eua-condenam-envolvimento-do-governo-da-venezuela-na-morte-de-opositor.ghtml", "URL")</f>
        <v/>
      </c>
      <c r="K1911">
        <f>HYPERLINK("https://raw.githubusercontent.com/marcosmapl/dataset_imigrantes/main/noticias_filtered/g1/venezuelanos/2018/09_out/html/g1_f295f926-231d-11ed-b24f-6dbe51e79fca_3530.html", "HTML")</f>
        <v/>
      </c>
      <c r="L1911">
        <f>HYPERLINK("https://raw.githubusercontent.com/marcosmapl/dataset_imigrantes/main/noticias_filtered/g1/venezuelanos/2018/09_out/txt/g1_f295f926-231d-11ed-b24f-6dbe51e79fca_3530.txt", "TXT")</f>
        <v/>
      </c>
    </row>
    <row r="1912">
      <c r="A1912" s="1" t="n">
        <v>1910</v>
      </c>
      <c r="B1912" t="n">
        <v>2018</v>
      </c>
      <c r="C1912" s="2" t="n">
        <v>43382.96301278935</v>
      </c>
      <c r="D1912" t="inlineStr">
        <is>
          <t>G1</t>
        </is>
      </c>
      <c r="E1912" t="inlineStr">
        <is>
          <t>VENEZUELANOS</t>
        </is>
      </c>
      <c r="F1912" t="inlineStr">
        <is>
          <t>CEARÁ</t>
        </is>
      </c>
      <c r="G1912" t="inlineStr">
        <is>
          <t>G1 CE</t>
        </is>
      </c>
      <c r="H1912" t="inlineStr">
        <is>
          <t>VENEZUELANA FOGE DE CASA DE PROFESSORA ONDE ERA MANTIDA EM 'TRABALHO ESCRAVO' NO CEARÁ</t>
        </is>
      </c>
      <c r="I1912" t="inlineStr">
        <is>
          <t>SEGUNDO O MINISTÉRIO PÚBLICO, ELA ERA OBRIGADA A FAZER OS SERVIÇOS DE CASA E ERA MANTIDA EM CÁRCERE PRIVADO.</t>
        </is>
      </c>
      <c r="J1912">
        <f>HYPERLINK("https://g1.globo.com/ce/ceara/noticia/2018/10/09/venezuelana-foge-de-casa-de-professora-onde-era-mantida-sob-trabalho-escravo-no-ceara.ghtml", "URL")</f>
        <v/>
      </c>
      <c r="K1912">
        <f>HYPERLINK("https://raw.githubusercontent.com/marcosmapl/dataset_imigrantes/main/noticias_filtered/g1/venezuelanos/2018/09_out/html/g1_46f167b8-2313-11ed-b24f-6dbe51e79fca_3002.html", "HTML")</f>
        <v/>
      </c>
      <c r="L1912">
        <f>HYPERLINK("https://raw.githubusercontent.com/marcosmapl/dataset_imigrantes/main/noticias_filtered/g1/venezuelanos/2018/09_out/txt/g1_46f167b8-2313-11ed-b24f-6dbe51e79fca_3002.txt", "TXT")</f>
        <v/>
      </c>
    </row>
    <row r="1913">
      <c r="A1913" s="1" t="n">
        <v>1911</v>
      </c>
      <c r="B1913" t="n">
        <v>2018</v>
      </c>
      <c r="C1913" s="2" t="n">
        <v>43382.58384429398</v>
      </c>
      <c r="D1913" t="inlineStr">
        <is>
          <t>G1</t>
        </is>
      </c>
      <c r="E1913" t="inlineStr">
        <is>
          <t>HAITIANOS</t>
        </is>
      </c>
      <c r="F1913" t="inlineStr">
        <is>
          <t>MATO GROSSO</t>
        </is>
      </c>
      <c r="G1913" t="inlineStr">
        <is>
          <t>G1 MT</t>
        </is>
      </c>
      <c r="H1913" t="inlineStr">
        <is>
          <t>CRIANÇAS HAITIANAS GANHAM FESTA ANTECIPADA DO DIA DAS CRIANÇAS EM CUIABÁ E RECEBEM PRESENTES</t>
        </is>
      </c>
      <c r="I1913" t="inlineStr">
        <is>
          <t>VOLUNTÁRIOS REALIZARAM GINCANAS E DISTRIBUÍRAM LANCHES, BRINQUEDOS E LIVROS.</t>
        </is>
      </c>
      <c r="J1913">
        <f>HYPERLINK("https://g1.globo.com/mt/mato-grosso/noticia/2018/10/09/criancas-haitianas-ganham-festa-antecipada-do-dia-das-criancas-em-cuiaba-com-lanches-brinquedos-e-livros.ghtml", "URL")</f>
        <v/>
      </c>
      <c r="K1913">
        <f>HYPERLINK("https://raw.githubusercontent.com/marcosmapl/dataset_imigrantes/main/noticias_filtered/g1/haitianos/2018/09_out/html/g1_2a7c37a6-231e-11ed-b24f-6dbe51e79fca_3545.html", "HTML")</f>
        <v/>
      </c>
      <c r="L1913">
        <f>HYPERLINK("https://raw.githubusercontent.com/marcosmapl/dataset_imigrantes/main/noticias_filtered/g1/haitianos/2018/09_out/txt/g1_2a7c37a6-231e-11ed-b24f-6dbe51e79fca_3545.txt", "TXT")</f>
        <v/>
      </c>
    </row>
    <row r="1914">
      <c r="A1914" s="1" t="n">
        <v>1912</v>
      </c>
      <c r="B1914" t="n">
        <v>2018</v>
      </c>
      <c r="C1914" s="2" t="n">
        <v>43381.5668287037</v>
      </c>
      <c r="D1914" t="inlineStr">
        <is>
          <t>A CRITICA</t>
        </is>
      </c>
      <c r="E1914" t="inlineStr">
        <is>
          <t>VENEZUELANOS</t>
        </is>
      </c>
      <c r="F1914" t="inlineStr"/>
      <c r="G1914" t="inlineStr">
        <is>
          <t>AGÊNCIA BRASIL</t>
        </is>
      </c>
      <c r="H1914" t="inlineStr">
        <is>
          <t>APENAS UMA MULHER DISPUTA O 2º TURNO COMO CANDIDATA A GOVERNO NOS ESTADOS</t>
        </is>
      </c>
      <c r="I1914" t="inlineStr">
        <is>
          <t>COM UMA CARREIRA POLÍTICA CONSTRUÍDA NO LEGISLATIVO, FÁTIMA BEZERRA É SENADORA DO PT PELO RIO GRANDE DO NORTE E CUMPRIU TRÊS MANDATOS COMO DEPUTADA FEDERAL</t>
        </is>
      </c>
      <c r="J1914">
        <f>HYPERLINK("https://www.acritica.com/apenas-uma-mulher-disputa-o-2-turno-como-candidata-a-governo-nos-estados-1.93602", "URL")</f>
        <v/>
      </c>
      <c r="K1914">
        <f>HYPERLINK("https://raw.githubusercontent.com/marcosmapl/dataset_imigrantes/main/noticias_filtered/a_critica/venezuelanos/2018/09_out/html/1.93602_50.html", "HTML")</f>
        <v/>
      </c>
      <c r="L1914">
        <f>HYPERLINK("https://raw.githubusercontent.com/marcosmapl/dataset_imigrantes/main/noticias_filtered/a_critica/venezuelanos/2018/09_out/txt/1.93602_50.txt", "TXT")</f>
        <v/>
      </c>
    </row>
    <row r="1915">
      <c r="A1915" s="1" t="n">
        <v>1913</v>
      </c>
      <c r="B1915" t="n">
        <v>2018</v>
      </c>
      <c r="C1915" s="2" t="n">
        <v>43380.42796165509</v>
      </c>
      <c r="D1915" t="inlineStr">
        <is>
          <t>G1</t>
        </is>
      </c>
      <c r="E1915" t="inlineStr">
        <is>
          <t>HAITIANOS</t>
        </is>
      </c>
      <c r="F1915" t="inlineStr">
        <is>
          <t>RIO GRANDE DO SUL</t>
        </is>
      </c>
      <c r="G1915" t="inlineStr">
        <is>
          <t>G1 RS</t>
        </is>
      </c>
      <c r="H1915" t="inlineStr">
        <is>
          <t>ASSISTA A TODOS OS VÍDEOS DO COMPARTILHE RS DESTE DOMINGO (7)</t>
        </is>
      </c>
      <c r="I1915" t="inlineStr">
        <is>
          <t>PROGRAMA REUNIU HISTÓRIAS DE EMPREENDEDORES QUE UNIRAM TRABALHO E SOLIDARIEDADE.</t>
        </is>
      </c>
      <c r="J1915">
        <f>HYPERLINK("https://g1.globo.com/rs/rio-grande-do-sul/compartilhers/noticia/2018/10/07/assista-a-todos-os-videos-do-compartilhe-rs-deste-domingo-7.ghtml", "URL")</f>
        <v/>
      </c>
      <c r="K1915">
        <f>HYPERLINK("https://raw.githubusercontent.com/marcosmapl/dataset_imigrantes/main/noticias_filtered/g1/haitianos/2018/09_out/html/g1_c3f9f51a-2316-11ed-b24f-6dbe51e79fca_3168.html", "HTML")</f>
        <v/>
      </c>
      <c r="L1915">
        <f>HYPERLINK("https://raw.githubusercontent.com/marcosmapl/dataset_imigrantes/main/noticias_filtered/g1/haitianos/2018/09_out/txt/g1_c3f9f51a-2316-11ed-b24f-6dbe51e79fca_3168.txt", "TXT")</f>
        <v/>
      </c>
    </row>
    <row r="1916">
      <c r="A1916" s="1" t="n">
        <v>1914</v>
      </c>
      <c r="B1916" t="n">
        <v>2018</v>
      </c>
      <c r="C1916" s="2" t="n">
        <v>43380.0858222801</v>
      </c>
      <c r="D1916" t="inlineStr">
        <is>
          <t>G1</t>
        </is>
      </c>
      <c r="E1916" t="inlineStr">
        <is>
          <t>HAITIANOS</t>
        </is>
      </c>
      <c r="F1916" t="inlineStr">
        <is>
          <t>MUNDO</t>
        </is>
      </c>
      <c r="G1916" t="inlineStr">
        <is>
          <t>G1</t>
        </is>
      </c>
      <c r="H1916" t="inlineStr">
        <is>
          <t>TERREMOTO DEIXA 11 MORTOS E CAUSA DANOS NO HAITI</t>
        </is>
      </c>
      <c r="I1916" t="inlineStr">
        <is>
          <t>TREMOR DE MAGNITUDE 5,9 TEVE EPICENTRO A 20 KM DE PORT-DE-PAIX. PRESIDENTE JOVENEL MOISE, CONFIRMOU DANOS NO NORTE DO PAÍS E PEDIU CALMA À POPULAÇÃO.</t>
        </is>
      </c>
      <c r="J1916">
        <f>HYPERLINK("https://g1.globo.com/mundo/noticia/2018/10/06/terremoto-atinge-o-haiti-e-causa-danos.ghtml", "URL")</f>
        <v/>
      </c>
      <c r="K1916">
        <f>HYPERLINK("https://raw.githubusercontent.com/marcosmapl/dataset_imigrantes/main/noticias_filtered/g1/haitianos/2018/09_out/html/g1_a789bf72-2308-11ed-b24f-6dbe51e79fca_2395.html", "HTML")</f>
        <v/>
      </c>
      <c r="L1916">
        <f>HYPERLINK("https://raw.githubusercontent.com/marcosmapl/dataset_imigrantes/main/noticias_filtered/g1/haitianos/2018/09_out/txt/g1_a789bf72-2308-11ed-b24f-6dbe51e79fca_2395.txt", "TXT")</f>
        <v/>
      </c>
    </row>
    <row r="1917">
      <c r="A1917" s="1" t="n">
        <v>1915</v>
      </c>
      <c r="B1917" t="n">
        <v>2018</v>
      </c>
      <c r="C1917" s="2" t="n">
        <v>43379.80675925926</v>
      </c>
      <c r="D1917" t="inlineStr">
        <is>
          <t>A CRITICA</t>
        </is>
      </c>
      <c r="E1917" t="inlineStr">
        <is>
          <t>VENEZUELANOS</t>
        </is>
      </c>
      <c r="F1917" t="inlineStr">
        <is>
          <t>ENTRETENIMENTO</t>
        </is>
      </c>
      <c r="G1917" t="inlineStr">
        <is>
          <t>SILANE SOUZA</t>
        </is>
      </c>
      <c r="H1917" t="inlineStr">
        <is>
          <t>EXPOSIÇÃO ITINERANTE EM SHOPPINGS DE MANAUS RETRATA IMIGRAÇÃO NA AMAZÔNIA</t>
        </is>
      </c>
      <c r="I1917" t="inlineStr">
        <is>
          <t>EVENTO DA ASSOCIAÇÃO PANAMAZÔNIA COMEÇA NA PRÓXIMA QUARTA-FEIRA (10) E APRESENTA COMO ALGUMAS FAMÍLIAS CHEGARAM À REGIÃO</t>
        </is>
      </c>
      <c r="J1917">
        <f>HYPERLINK("https://www.acritica.com/entretenimento/exposic-o-itinerante-em-shoppings-de-manaus-retrata-imigrac-o-na-amazonia-1.131142", "URL")</f>
        <v/>
      </c>
      <c r="K1917">
        <f>HYPERLINK("https://raw.githubusercontent.com/marcosmapl/dataset_imigrantes/main/noticias_filtered/a_critica/venezuelanos/2018/09_out/html/1.131142_643.html", "HTML")</f>
        <v/>
      </c>
      <c r="L1917">
        <f>HYPERLINK("https://raw.githubusercontent.com/marcosmapl/dataset_imigrantes/main/noticias_filtered/a_critica/venezuelanos/2018/09_out/txt/1.131142_643.txt", "TXT")</f>
        <v/>
      </c>
    </row>
    <row r="1918">
      <c r="A1918" s="1" t="n">
        <v>1916</v>
      </c>
      <c r="B1918" t="n">
        <v>2018</v>
      </c>
      <c r="C1918" s="2" t="n">
        <v>43379.54012195602</v>
      </c>
      <c r="D1918" t="inlineStr">
        <is>
          <t>G1</t>
        </is>
      </c>
      <c r="E1918" t="inlineStr">
        <is>
          <t>VENEZUELANOS</t>
        </is>
      </c>
      <c r="F1918" t="inlineStr">
        <is>
          <t>RORAIMA</t>
        </is>
      </c>
      <c r="G1918" t="inlineStr">
        <is>
          <t>EMILY COSTA, G1 RR — BOA VISTA</t>
        </is>
      </c>
      <c r="H1918" t="inlineStr">
        <is>
          <t>EXCEÇÃO ENTRE RECÉM-CHEGADOS, VENEZUELANA QUE SE NATURALIZOU BRASILEIRA VOTA EM RORAIMA</t>
        </is>
      </c>
      <c r="I1918" t="inlineStr">
        <is>
          <t>FILHA DE PARANAENSE, CAROL FORMANIAK, 42, TEM DUPLA NACIONALIDADE E TÍTULO DE ELEITOR: 'VOTAR É UM DIREITO QUE ME FAZ SENTIR PARTE DO MEU NOVO LAR', DIZ.</t>
        </is>
      </c>
      <c r="J1918">
        <f>HYPERLINK("https://g1.globo.com/rr/roraima/eleicoes/2018/noticia/2018/10/06/excecao-entre-recem-chegados-venezuelana-que-se-naturalizou-brasileira-vota-em-roraima.ghtml", "URL")</f>
        <v/>
      </c>
      <c r="K1918">
        <f>HYPERLINK("https://raw.githubusercontent.com/marcosmapl/dataset_imigrantes/main/noticias_filtered/g1/venezuelanos/2018/09_out/html/g1_7af1ee2a-232c-11ed-b24f-6dbe51e79fca_4307.html", "HTML")</f>
        <v/>
      </c>
      <c r="L1918">
        <f>HYPERLINK("https://raw.githubusercontent.com/marcosmapl/dataset_imigrantes/main/noticias_filtered/g1/venezuelanos/2018/09_out/txt/g1_7af1ee2a-232c-11ed-b24f-6dbe51e79fca_4307.txt", "TXT")</f>
        <v/>
      </c>
    </row>
    <row r="1919">
      <c r="A1919" s="1" t="n">
        <v>1917</v>
      </c>
      <c r="B1919" t="n">
        <v>2018</v>
      </c>
      <c r="C1919" s="2" t="n">
        <v>43378.77453703704</v>
      </c>
      <c r="D1919" t="inlineStr">
        <is>
          <t>A CRITICA</t>
        </is>
      </c>
      <c r="E1919" t="inlineStr">
        <is>
          <t>VENEZUELANOS</t>
        </is>
      </c>
      <c r="F1919" t="inlineStr"/>
      <c r="G1919" t="inlineStr">
        <is>
          <t>AGÊNCIA EFE</t>
        </is>
      </c>
      <c r="H1919" t="inlineStr">
        <is>
          <t>VENEZUELA ANUNCIA CRIAÇÃO DE POLÍCIA MIGRATÓRIA PARA FRONTEIRAS</t>
        </is>
      </c>
      <c r="I1919" t="inlineStr">
        <is>
          <t>SERÃO 72 PONTOS DE CONTROLE NAS FRONTEIRAS, PORTOS E AEROPORTOS EM UM MOMENTO NO QUAL O PAÍS PASSA POR UMA GRAVE CRISE ECONÔMICA</t>
        </is>
      </c>
      <c r="J1919">
        <f>HYPERLINK("https://www.acritica.com/venezuela-anuncia-criac-o-de-policia-migratoria-para-fronteiras-1.139815", "URL")</f>
        <v/>
      </c>
      <c r="K1919">
        <f>HYPERLINK("https://raw.githubusercontent.com/marcosmapl/dataset_imigrantes/main/noticias_filtered/a_critica/venezuelanos/2018/09_out/html/1.139815_319.html", "HTML")</f>
        <v/>
      </c>
      <c r="L1919">
        <f>HYPERLINK("https://raw.githubusercontent.com/marcosmapl/dataset_imigrantes/main/noticias_filtered/a_critica/venezuelanos/2018/09_out/txt/1.139815_319.txt", "TXT")</f>
        <v/>
      </c>
    </row>
    <row r="1920">
      <c r="A1920" s="1" t="n">
        <v>1918</v>
      </c>
      <c r="B1920" t="n">
        <v>2018</v>
      </c>
      <c r="C1920" s="2" t="n">
        <v>43375.96429633102</v>
      </c>
      <c r="D1920" t="inlineStr">
        <is>
          <t>G1</t>
        </is>
      </c>
      <c r="E1920" t="inlineStr">
        <is>
          <t>HAITIANOS</t>
        </is>
      </c>
      <c r="F1920" t="inlineStr">
        <is>
          <t>TRIÂNGULO E ALTO PARANAÍBA</t>
        </is>
      </c>
      <c r="G1920" t="inlineStr">
        <is>
          <t>BÁRBARA ALMEIDA, G1 TRIÂNGULO MINEIRO</t>
        </is>
      </c>
      <c r="H1920" t="inlineStr">
        <is>
          <t>OBRA EM QUE HAITIANO MORREU EM UBERLÂNDIA ERA ALVO DE RECORRENTES DENÚNCIAS</t>
        </is>
      </c>
      <c r="I1920" t="inlineStr">
        <is>
          <t>MINISTÉRIO DO TRABALHO INFORMOU QUE VINHA FISCALIZANDO OS TRABALHOS E QUE CHEGOU A NOTIFICAR A EMPRESA. RESPONSÁVEIS FORAM PROCURADOS PELO G1.</t>
        </is>
      </c>
      <c r="J1920">
        <f>HYPERLINK("https://g1.globo.com/mg/triangulo-mineiro/noticia/2018/10/02/obra-em-que-haitiano-morreu-em-uberlandia-era-alvo-de-recorrentes-fiscalizacoes.ghtml", "URL")</f>
        <v/>
      </c>
      <c r="K1920">
        <f>HYPERLINK("https://raw.githubusercontent.com/marcosmapl/dataset_imigrantes/main/noticias_filtered/g1/haitianos/2018/09_out/html/g1_23429d58-22f7-11ed-b24f-6dbe51e79fca_2062.html", "HTML")</f>
        <v/>
      </c>
      <c r="L1920">
        <f>HYPERLINK("https://raw.githubusercontent.com/marcosmapl/dataset_imigrantes/main/noticias_filtered/g1/haitianos/2018/09_out/txt/g1_23429d58-22f7-11ed-b24f-6dbe51e79fca_2062.txt", "TXT")</f>
        <v/>
      </c>
    </row>
    <row r="1921">
      <c r="A1921" s="1" t="n">
        <v>1919</v>
      </c>
      <c r="B1921" t="n">
        <v>2018</v>
      </c>
      <c r="C1921" s="2" t="n">
        <v>43375.6857771412</v>
      </c>
      <c r="D1921" t="inlineStr">
        <is>
          <t>G1</t>
        </is>
      </c>
      <c r="E1921" t="inlineStr">
        <is>
          <t>VENEZUELANOS</t>
        </is>
      </c>
      <c r="F1921" t="inlineStr">
        <is>
          <t>RORAIMA</t>
        </is>
      </c>
      <c r="G1921" t="inlineStr">
        <is>
          <t>G1 RR — BOA VISTA</t>
        </is>
      </c>
      <c r="H1921" t="inlineStr">
        <is>
          <t>VENEZUELANO AGREDIDO EM BAR MORRE EM HOSPITAL DE BOA VISTA</t>
        </is>
      </c>
      <c r="I1921" t="inlineStr">
        <is>
          <t>IMIGRANTE ESTAVA INTERNADO DESDE O ÚLTIMO DIA 23 E MORREU NA MADRUGADA DESSA SEGUNDA (1º). SEGUNDO PAI, ELE E AMIGO FORAM AGREDIDOS A PAULADAS E PEDRADAS POR GRUPO DE BRASILEIROS.</t>
        </is>
      </c>
      <c r="J1921">
        <f>HYPERLINK("https://g1.globo.com/rr/roraima/noticia/2018/10/02/venezuelano-agredido-em-bar-morre-em-hospital-de-boa-vista.ghtml", "URL")</f>
        <v/>
      </c>
      <c r="K1921">
        <f>HYPERLINK("https://raw.githubusercontent.com/marcosmapl/dataset_imigrantes/main/noticias_filtered/g1/venezuelanos/2018/09_out/html/g1_050691ce-2319-11ed-b24f-6dbe51e79fca_3294.html", "HTML")</f>
        <v/>
      </c>
      <c r="L1921">
        <f>HYPERLINK("https://raw.githubusercontent.com/marcosmapl/dataset_imigrantes/main/noticias_filtered/g1/venezuelanos/2018/09_out/txt/g1_050691ce-2319-11ed-b24f-6dbe51e79fca_3294.txt", "TXT")</f>
        <v/>
      </c>
    </row>
    <row r="1922">
      <c r="A1922" s="1" t="n">
        <v>1920</v>
      </c>
      <c r="B1922" t="n">
        <v>2018</v>
      </c>
      <c r="C1922" s="2" t="n">
        <v>43375.55552333334</v>
      </c>
      <c r="D1922" t="inlineStr">
        <is>
          <t>G1</t>
        </is>
      </c>
      <c r="E1922" t="inlineStr">
        <is>
          <t>HAITIANOS</t>
        </is>
      </c>
      <c r="F1922" t="inlineStr">
        <is>
          <t>OESTE E SUDOESTE</t>
        </is>
      </c>
      <c r="G1922" t="inlineStr">
        <is>
          <t>G1 PR</t>
        </is>
      </c>
      <c r="H1922" t="inlineStr">
        <is>
          <t>HAITIANA MORRE EM ACIDENTE ENTRE MOTO E CARRETA EM CASCAVEL</t>
        </is>
      </c>
      <c r="I1922" t="inlineStr">
        <is>
          <t>MOTOCICLISTA FOI SURPREENDIDO POR CARRETA QUE CRUZOU UM TRECHO DA BR-277; BATIDA ACONTECEU NA MADRUGADA DESTA TERÇA-FEIRA (2).</t>
        </is>
      </c>
      <c r="J1922">
        <f>HYPERLINK("https://g1.globo.com/pr/oeste-sudoeste/noticia/2018/10/02/passageira-de-moto-morre-em-acidente-com-carreta-em-cascavel.ghtml", "URL")</f>
        <v/>
      </c>
      <c r="K1922">
        <f>HYPERLINK("https://raw.githubusercontent.com/marcosmapl/dataset_imigrantes/main/noticias_filtered/g1/haitianos/2018/09_out/html/g1_af807f60-2329-11ed-b24f-6dbe51e79fca_4132.html", "HTML")</f>
        <v/>
      </c>
      <c r="L1922">
        <f>HYPERLINK("https://raw.githubusercontent.com/marcosmapl/dataset_imigrantes/main/noticias_filtered/g1/haitianos/2018/09_out/txt/g1_af807f60-2329-11ed-b24f-6dbe51e79fca_4132.txt", "TXT")</f>
        <v/>
      </c>
    </row>
    <row r="1923">
      <c r="A1923" s="1" t="n">
        <v>1921</v>
      </c>
      <c r="B1923" t="n">
        <v>2018</v>
      </c>
      <c r="C1923" s="2" t="n">
        <v>43374.50712082176</v>
      </c>
      <c r="D1923" t="inlineStr">
        <is>
          <t>G1</t>
        </is>
      </c>
      <c r="E1923" t="inlineStr">
        <is>
          <t>VENEZUELANOS</t>
        </is>
      </c>
      <c r="F1923" t="inlineStr">
        <is>
          <t>MATO GROSSO</t>
        </is>
      </c>
      <c r="G1923" t="inlineStr">
        <is>
          <t>G1 MT</t>
        </is>
      </c>
      <c r="H1923" t="inlineStr">
        <is>
          <t>VENEZUELANO É MORTO A FACADAS EM BAR DE CUIABÁ APÓS DISCUSSÃO, DIZ PM</t>
        </is>
      </c>
      <c r="I1923" t="inlineStr">
        <is>
          <t>A VÍTIMA FOI IDENTIFICADA COMO FRANCISCO JAVIER BELISÁRIO GOMES. O SUSPEITO, BRITO ANTONIO GOMES RODRIGUES, DE 21 ANOS, QUE TAMBÉM É VENEZUELANO, FOI CONTIDO PELOS CLIENTES DO ESTABELECIMENTO.</t>
        </is>
      </c>
      <c r="J1923">
        <f>HYPERLINK("https://g1.globo.com/mt/mato-grosso/noticia/2018/10/01/venezuelano-e-morto-a-facadas-em-bar-de-cuiaba-apos-discussao-diz-pm.ghtml", "URL")</f>
        <v/>
      </c>
      <c r="K1923">
        <f>HYPERLINK("https://raw.githubusercontent.com/marcosmapl/dataset_imigrantes/main/noticias_filtered/g1/venezuelanos/2018/09_out/html/g1_0b0d7fca-231d-11ed-b24f-6dbe51e79fca_3481.html", "HTML")</f>
        <v/>
      </c>
      <c r="L1923">
        <f>HYPERLINK("https://raw.githubusercontent.com/marcosmapl/dataset_imigrantes/main/noticias_filtered/g1/venezuelanos/2018/09_out/txt/g1_0b0d7fca-231d-11ed-b24f-6dbe51e79fca_3481.txt", "TXT")</f>
        <v/>
      </c>
    </row>
    <row r="1924">
      <c r="A1924" s="1" t="n">
        <v>1922</v>
      </c>
      <c r="B1924" t="n">
        <v>2018</v>
      </c>
      <c r="C1924" s="2" t="n">
        <v>43372.64132988426</v>
      </c>
      <c r="D1924" t="inlineStr">
        <is>
          <t>G1</t>
        </is>
      </c>
      <c r="E1924" t="inlineStr">
        <is>
          <t>VENEZUELANOS</t>
        </is>
      </c>
      <c r="F1924" t="inlineStr">
        <is>
          <t>RORAIMA</t>
        </is>
      </c>
      <c r="G1924" t="inlineStr">
        <is>
          <t>EMILY COSTA — BOA VISTA</t>
        </is>
      </c>
      <c r="H1924" t="inlineStr">
        <is>
          <t>ESTUDANTE VENEZUELANO É BALEADO DURANTE TENTATIVA DE ASSALTO E MORRE EM BOA VISTA</t>
        </is>
      </c>
      <c r="I1924" t="inlineStr">
        <is>
          <t>FERIDO NA CABEÇA E NO BRAÇO ESQUERDO, JOVEM DE 22 ANOS FOI LEVADO A HOSPITAL, MAS NÃO RESISTIU AOS FERIMENTOS. SUSPEITOS DO CRIME, TAMBÉM VENEZUELANOS, FUGIRAM APÓS ATIRAR CONTRA VÍTIMA NA NOITE DE SEXTA (28).</t>
        </is>
      </c>
      <c r="J1924">
        <f>HYPERLINK("https://g1.globo.com/rr/roraima/noticia/2018/09/29/estudante-venezuelano-e-baleado-durante-tentativa-de-assalto-e-morre-em-boa-vista.ghtml", "URL")</f>
        <v/>
      </c>
      <c r="K1924">
        <f>HYPERLINK("https://raw.githubusercontent.com/marcosmapl/dataset_imigrantes/main/noticias_filtered/g1/venezuelanos/2018/08_set/html/g1_610f4e02-2328-11ed-b24f-6dbe51e79fca_4076.html", "HTML")</f>
        <v/>
      </c>
      <c r="L1924">
        <f>HYPERLINK("https://raw.githubusercontent.com/marcosmapl/dataset_imigrantes/main/noticias_filtered/g1/venezuelanos/2018/08_set/txt/g1_610f4e02-2328-11ed-b24f-6dbe51e79fca_4076.txt", "TXT")</f>
        <v/>
      </c>
    </row>
    <row r="1925">
      <c r="A1925" s="1" t="n">
        <v>1923</v>
      </c>
      <c r="B1925" t="n">
        <v>2018</v>
      </c>
      <c r="C1925" s="2" t="n">
        <v>43371.74375</v>
      </c>
      <c r="D1925" t="inlineStr">
        <is>
          <t>PORTAL AMAZONIA</t>
        </is>
      </c>
      <c r="E1925" t="inlineStr">
        <is>
          <t>VENEZUELANOS</t>
        </is>
      </c>
      <c r="F1925" t="inlineStr">
        <is>
          <t>CIDADES</t>
        </is>
      </c>
      <c r="G1925" t="inlineStr">
        <is>
          <t>REDAÇÃO</t>
        </is>
      </c>
      <c r="H1925" t="inlineStr">
        <is>
          <t>MAIS DE CEM INDÍGENAS FORAM ASSASSINADOS EM 2017 NO BRASIL, APONTA CONSELHO INDIGENISTA</t>
        </is>
      </c>
      <c r="I1925" t="inlineStr">
        <is>
          <t>CENTO E DEZ INDÍGENAS FORAM ASSASSINADOS EM 2017. É O QUE APONTA RELATÓRIO DIVULGADO NESTA QUINTA-FEIRA PELO CIMI – CONSELHO INDIGENISTA MISSIONÁRIO. O DOCUMENTO TAMBÉM DESTACA QUE OCORRÊNCIAS DE APROPRIAÇÃO INDEVIDA DAS TERRAS TRADICIONAIS, CASOS DE</t>
        </is>
      </c>
      <c r="J1925">
        <f>HYPERLINK("https://portalamazonia.com/noticias/cidades/mais-de-cem-indigenas-foram-assassinados-em-2017-no-brasil-aponta-conselho-indigenista", "URL")</f>
        <v/>
      </c>
      <c r="K1925">
        <f>HYPERLINK("https://raw.githubusercontent.com/marcosmapl/dataset_imigrantes/main/noticias_filtered/portal_amazonia/venezuelanos/2018/08_set/html/15826.15826_1554.html", "HTML")</f>
        <v/>
      </c>
      <c r="L1925">
        <f>HYPERLINK("https://raw.githubusercontent.com/marcosmapl/dataset_imigrantes/main/noticias_filtered/portal_amazonia/venezuelanos/2018/08_set/txt/15826.15826_1554.txt", "TXT")</f>
        <v/>
      </c>
    </row>
    <row r="1926">
      <c r="A1926" s="1" t="n">
        <v>1924</v>
      </c>
      <c r="B1926" t="n">
        <v>2018</v>
      </c>
      <c r="C1926" s="2" t="n">
        <v>43371.6125</v>
      </c>
      <c r="D1926" t="inlineStr">
        <is>
          <t>PORTAL AMAZONIA</t>
        </is>
      </c>
      <c r="E1926" t="inlineStr">
        <is>
          <t>VENEZUELANOS</t>
        </is>
      </c>
      <c r="F1926" t="inlineStr">
        <is>
          <t>CIDADES</t>
        </is>
      </c>
      <c r="G1926" t="inlineStr">
        <is>
          <t>REDAÇÃO</t>
        </is>
      </c>
      <c r="H1926" t="inlineStr">
        <is>
          <t>GOVERNO DE RORAIMA NEGA ACORDO COM MADURO PARA REPATRIAR VENEZUELANOS</t>
        </is>
      </c>
      <c r="I1926" t="inlineStr">
        <is>
          <t>A PROCURADORIA FEDERAL DOS DIREITOS DO CIDADÃO INFORMOU NESSA QUINTA-FEIRA (27) QUE RECEBEU OFÍCIO DO GOVERNO DO ESTADO DE RORAIMA SOBRE SUPOSTO ACORDO PARA REPATRIAÇÃO DE IMIGRANTES VENEZUELANOS.FOTO:REPRODUÇÃO/REDE AMAZÔNICANO DOCUMENTO, O GOVERNO</t>
        </is>
      </c>
      <c r="J1926">
        <f>HYPERLINK("https://portalamazonia.com/noticias/cidades/governo-de-roraima-nega-acordo-com-maduro-para-repatriar-venezuelanos", "URL")</f>
        <v/>
      </c>
      <c r="K1926">
        <f>HYPERLINK("https://raw.githubusercontent.com/marcosmapl/dataset_imigrantes/main/noticias_filtered/portal_amazonia/venezuelanos/2018/08_set/html/15825.15825_1527.html", "HTML")</f>
        <v/>
      </c>
      <c r="L1926">
        <f>HYPERLINK("https://raw.githubusercontent.com/marcosmapl/dataset_imigrantes/main/noticias_filtered/portal_amazonia/venezuelanos/2018/08_set/txt/15825.15825_1527.txt", "TXT")</f>
        <v/>
      </c>
    </row>
    <row r="1927">
      <c r="A1927" s="1" t="n">
        <v>1925</v>
      </c>
      <c r="B1927" t="n">
        <v>2018</v>
      </c>
      <c r="C1927" s="2" t="n">
        <v>43370.99279949074</v>
      </c>
      <c r="D1927" t="inlineStr">
        <is>
          <t>G1</t>
        </is>
      </c>
      <c r="E1927" t="inlineStr">
        <is>
          <t>HAITIANOS</t>
        </is>
      </c>
      <c r="F1927" t="inlineStr">
        <is>
          <t>ESPÍRITO SANTO</t>
        </is>
      </c>
      <c r="G1927" t="inlineStr">
        <is>
          <t>G1 ES</t>
        </is>
      </c>
      <c r="H1927" t="inlineStr">
        <is>
          <t>VOLUNTÁRIOS DE SÃO MATEUS SE PREPARAM PARA LEVAR DOAÇÕES ATÉ CRIANÇAS DO HAITI</t>
        </is>
      </c>
      <c r="I1927" t="inlineStr">
        <is>
          <t>SENSIBILIZADOS COM OS RELATOS DE MISÉRIA VIVIDOS PELOS HAITIANOS, ELES ARRECADARAM ROUPAS, ALIMENTOS E BRINQUEDOS POR CINCO MESES.</t>
        </is>
      </c>
      <c r="J1927">
        <f>HYPERLINK("https://g1.globo.com/es/espirito-santo/noticia/2018/09/27/voluntarios-de-sao-mateus-se-preparam-para-levar-doacoes-ate-criancas-do-haiti.ghtml", "URL")</f>
        <v/>
      </c>
      <c r="K1927">
        <f>HYPERLINK("https://raw.githubusercontent.com/marcosmapl/dataset_imigrantes/main/noticias_filtered/g1/haitianos/2018/08_set/html/g1_4f20a532-2329-11ed-b24f-6dbe51e79fca_4108.html", "HTML")</f>
        <v/>
      </c>
      <c r="L1927">
        <f>HYPERLINK("https://raw.githubusercontent.com/marcosmapl/dataset_imigrantes/main/noticias_filtered/g1/haitianos/2018/08_set/txt/g1_4f20a532-2329-11ed-b24f-6dbe51e79fca_4108.txt", "TXT")</f>
        <v/>
      </c>
    </row>
    <row r="1928">
      <c r="A1928" s="1" t="n">
        <v>1926</v>
      </c>
      <c r="B1928" t="n">
        <v>2018</v>
      </c>
      <c r="C1928" s="2" t="n">
        <v>43370.86736111111</v>
      </c>
      <c r="D1928" t="inlineStr">
        <is>
          <t>PORTAL AMAZONIA</t>
        </is>
      </c>
      <c r="E1928" t="inlineStr">
        <is>
          <t>VENEZUELANOS</t>
        </is>
      </c>
      <c r="F1928" t="inlineStr">
        <is>
          <t>CIDADES</t>
        </is>
      </c>
      <c r="G1928" t="inlineStr">
        <is>
          <t>REDAÇÃO</t>
        </is>
      </c>
      <c r="H1928" t="inlineStr">
        <is>
          <t>MAIS DE 120 IMIGRANTES VENEZUELANOS SÃO TRANSFERIDOS PARA SP E RS</t>
        </is>
      </c>
      <c r="I1928" t="inlineStr">
        <is>
          <t>O ALTO COMISSARIADO DAS NAÇÕES UNIDAS PARA OS REFUGIADOS (ACNUR) INFORMOU QUE 122 PESSOAS FORAM TRANSFERIDAS DE RORAIMA E LEVADAS EM VOOS PARA O RIO GRANDE DO SUL (40 VENEZUELANOS PARA A CIDADE DE CACHOEIRINHA E 52 PARA O MUNICÍPIO DE CHAPADA) E PARA</t>
        </is>
      </c>
      <c r="J1928">
        <f>HYPERLINK("https://portalamazonia.com/noticias/cidades/mais-de-120-imigrantes-venezuelanos-sao-transferidos-para-sp-e-rs", "URL")</f>
        <v/>
      </c>
      <c r="K1928">
        <f>HYPERLINK("https://raw.githubusercontent.com/marcosmapl/dataset_imigrantes/main/noticias_filtered/portal_amazonia/venezuelanos/2018/08_set/html/15820.15820_1540.html", "HTML")</f>
        <v/>
      </c>
      <c r="L1928">
        <f>HYPERLINK("https://raw.githubusercontent.com/marcosmapl/dataset_imigrantes/main/noticias_filtered/portal_amazonia/venezuelanos/2018/08_set/txt/15820.15820_1540.txt", "TXT")</f>
        <v/>
      </c>
    </row>
    <row r="1929">
      <c r="A1929" s="1" t="n">
        <v>1927</v>
      </c>
      <c r="B1929" t="n">
        <v>2018</v>
      </c>
      <c r="C1929" s="2" t="n">
        <v>43368.56498842593</v>
      </c>
      <c r="D1929" t="inlineStr">
        <is>
          <t>A CRITICA</t>
        </is>
      </c>
      <c r="E1929" t="inlineStr">
        <is>
          <t>VENEZUELANOS</t>
        </is>
      </c>
      <c r="F1929" t="inlineStr"/>
      <c r="G1929" t="inlineStr">
        <is>
          <t>PEDRO PEDUZZI (AGÊNCIA BRASIL)</t>
        </is>
      </c>
      <c r="H1929" t="inlineStr">
        <is>
          <t>EM DISCURSO NA ONU, MICHEL TEMER CRITICA UNILATERALISMO E INTOLERÂNCIA</t>
        </is>
      </c>
      <c r="I1929" t="inlineStr">
        <is>
          <t>PARA O PRESIDENTE, ESSAS QUESTÕES COMPROMETEM A ORDEM MUNDIAL. ELE DESTACOU O PAPEL DO BRASIL NA QUESTÃO MIGRATÓRIA NA AMÉRICA DO SUL</t>
        </is>
      </c>
      <c r="J1929">
        <f>HYPERLINK("https://www.acritica.com/em-discurso-na-onu-michel-temer-critica-unilateralismo-e-intolerancia-1.197951", "URL")</f>
        <v/>
      </c>
      <c r="K1929">
        <f>HYPERLINK("https://raw.githubusercontent.com/marcosmapl/dataset_imigrantes/main/noticias_filtered/a_critica/venezuelanos/2018/08_set/html/1.197951_825.html", "HTML")</f>
        <v/>
      </c>
      <c r="L1929">
        <f>HYPERLINK("https://raw.githubusercontent.com/marcosmapl/dataset_imigrantes/main/noticias_filtered/a_critica/venezuelanos/2018/08_set/txt/1.197951_825.txt", "TXT")</f>
        <v/>
      </c>
    </row>
    <row r="1930">
      <c r="A1930" s="1" t="n">
        <v>1928</v>
      </c>
      <c r="B1930" t="n">
        <v>2018</v>
      </c>
      <c r="C1930" s="2" t="n">
        <v>43367.72950166667</v>
      </c>
      <c r="D1930" t="inlineStr">
        <is>
          <t>G1</t>
        </is>
      </c>
      <c r="E1930" t="inlineStr">
        <is>
          <t>HAITIANOS</t>
        </is>
      </c>
      <c r="F1930" t="inlineStr">
        <is>
          <t>MATO GROSSO</t>
        </is>
      </c>
      <c r="G1930" t="inlineStr">
        <is>
          <t>WILLIAN DALAZEM, CENTRO AMÉRICA FM</t>
        </is>
      </c>
      <c r="H1930" t="inlineStr">
        <is>
          <t>HAITIANOS RECEBEM AJUDA DE GRUPO DE MULHERES NEGRAS NA BUSCA POR EMPREGO EM MT</t>
        </is>
      </c>
      <c r="I1930" t="inlineStr">
        <is>
          <t>IMIGRANTES CHEGARAM EM CÁCERES, PELA FRONTEIRA COM A BOLÍVIA, JUNTO COM GRUPO DE HAITIANOS. TRÊS DECIDIRAM CONTINUAR NA CIDADE E OS OUTROS SAÍRAM EM BUSCA DE OPORTUNIDADES EM OUTROS MUNICÍPIOS.</t>
        </is>
      </c>
      <c r="J1930">
        <f>HYPERLINK("https://g1.globo.com/mt/mato-grosso/noticia/2018/09/24/haitianos-recebem-ajuda-de-grupo-de-mulheres-negras-na-busca-por-emprego-em-mt.ghtml", "URL")</f>
        <v/>
      </c>
      <c r="K1930">
        <f>HYPERLINK("https://raw.githubusercontent.com/marcosmapl/dataset_imigrantes/main/noticias_filtered/g1/haitianos/2018/08_set/html/g1_f657416e-22f5-11ed-b24f-6dbe51e79fca_1983.html", "HTML")</f>
        <v/>
      </c>
      <c r="L1930">
        <f>HYPERLINK("https://raw.githubusercontent.com/marcosmapl/dataset_imigrantes/main/noticias_filtered/g1/haitianos/2018/08_set/txt/g1_f657416e-22f5-11ed-b24f-6dbe51e79fca_1983.txt", "TXT")</f>
        <v/>
      </c>
    </row>
    <row r="1931">
      <c r="A1931" s="1" t="n">
        <v>1929</v>
      </c>
      <c r="B1931" t="n">
        <v>2018</v>
      </c>
      <c r="C1931" s="2" t="n">
        <v>43365.87990196759</v>
      </c>
      <c r="D1931" t="inlineStr">
        <is>
          <t>G1</t>
        </is>
      </c>
      <c r="E1931" t="inlineStr">
        <is>
          <t>HAITIANOS</t>
        </is>
      </c>
      <c r="F1931" t="inlineStr">
        <is>
          <t>RIO GRANDE DO SUL</t>
        </is>
      </c>
      <c r="G1931" t="inlineStr">
        <is>
          <t>GREICI MATOS E FÁBIO LEHMEN/RBS TV</t>
        </is>
      </c>
      <c r="H1931" t="inlineStr">
        <is>
          <t>SERRA GAÚCHA RECEBE MAIS DE 2,8 MIL IMIGRANTES EM TRÊS ANOS, SEGUNDO UNIVERSIDADE</t>
        </is>
      </c>
      <c r="I1931" t="inlineStr">
        <is>
          <t>ELES VÊM DOS MAIS DIFERENTES CONTINENTES, DESDE EUROPA, AMÉRICA E ATÉ OCEANIA. OUTRA REGIÃO PROCURADA PELOS IMIGRANTES É O NORTE, E SOMENTE PASSO FUNDO REÚNE PELO MENOS 400 SENEGALESES.</t>
        </is>
      </c>
      <c r="J1931">
        <f>HYPERLINK("https://g1.globo.com/rs/rio-grande-do-sul/noticia/2018/09/22/serra-gaucha-recebe-mais-de-28-mil-imigrantes-em-tres-anos-segundo-universidade.ghtml", "URL")</f>
        <v/>
      </c>
      <c r="K1931">
        <f>HYPERLINK("https://raw.githubusercontent.com/marcosmapl/dataset_imigrantes/main/noticias_filtered/g1/haitianos/2018/08_set/html/g1_a2be13da-230d-11ed-b24f-6dbe51e79fca_2699.html", "HTML")</f>
        <v/>
      </c>
      <c r="L1931">
        <f>HYPERLINK("https://raw.githubusercontent.com/marcosmapl/dataset_imigrantes/main/noticias_filtered/g1/haitianos/2018/08_set/txt/g1_a2be13da-230d-11ed-b24f-6dbe51e79fca_2699.txt", "TXT")</f>
        <v/>
      </c>
    </row>
    <row r="1932">
      <c r="A1932" s="1" t="n">
        <v>1930</v>
      </c>
      <c r="B1932" t="n">
        <v>2018</v>
      </c>
      <c r="C1932" s="2" t="n">
        <v>43364.75577546296</v>
      </c>
      <c r="D1932" t="inlineStr">
        <is>
          <t>A CRITICA</t>
        </is>
      </c>
      <c r="E1932" t="inlineStr">
        <is>
          <t>VENEZUELANOS</t>
        </is>
      </c>
      <c r="F1932" t="inlineStr"/>
      <c r="G1932" t="inlineStr">
        <is>
          <t>AGÊNCIA BRASIL</t>
        </is>
      </c>
      <c r="H1932" t="inlineStr">
        <is>
          <t>MADURO PEDE US$ 500 MILHÕES À ONU PARA REPATRIAR VENEZUELANOS</t>
        </is>
      </c>
      <c r="I1932" t="inlineStr">
        <is>
          <t>FORAM REPATRIADOS 3.039 VENEZUELANOS QUE DISSERAM TER SIDO VÍTIMAS DE DISCRIMINAÇÃO E XENOFOBIA, ENTRE OUTROS MAUS-TRATOS</t>
        </is>
      </c>
      <c r="J1932">
        <f>HYPERLINK("https://www.acritica.com/maduro-pede-us-500-milh-es-a-onu-para-repatriar-venezuelanos-1.198296", "URL")</f>
        <v/>
      </c>
      <c r="K1932">
        <f>HYPERLINK("https://raw.githubusercontent.com/marcosmapl/dataset_imigrantes/main/noticias_filtered/a_critica/venezuelanos/2018/08_set/html/1.198296_24.html", "HTML")</f>
        <v/>
      </c>
      <c r="L1932">
        <f>HYPERLINK("https://raw.githubusercontent.com/marcosmapl/dataset_imigrantes/main/noticias_filtered/a_critica/venezuelanos/2018/08_set/txt/1.198296_24.txt", "TXT")</f>
        <v/>
      </c>
    </row>
    <row r="1933">
      <c r="A1933" s="1" t="n">
        <v>1931</v>
      </c>
      <c r="B1933" t="n">
        <v>2018</v>
      </c>
      <c r="C1933" s="2" t="n">
        <v>43364.73819444444</v>
      </c>
      <c r="D1933" t="inlineStr">
        <is>
          <t>PORTAL AMAZONIA</t>
        </is>
      </c>
      <c r="E1933" t="inlineStr">
        <is>
          <t>VENEZUELANOS</t>
        </is>
      </c>
      <c r="F1933" t="inlineStr">
        <is>
          <t>CIDADES</t>
        </is>
      </c>
      <c r="G1933" t="inlineStr">
        <is>
          <t>REDAÇÃO</t>
        </is>
      </c>
      <c r="H1933" t="inlineStr">
        <is>
          <t>VENEZUELA ANUNCIA AMPLIAÇÃO NO FORNECIMENTO DE ENERGIA ELÉTRICA A RR</t>
        </is>
      </c>
      <c r="I1933" t="inlineStr">
        <is>
          <t>A VENEZUELA NÃO SÓ VAI MANTER, COMO AMPLIARÁ O FORNECIMENTO DE ENERGIA ELÉTRICA PARA RORAIMA. A INFORMAÇÃO FOI DIVULGADA PELO PRESIDENTE VENEZUELANO, NICOLÁS MADURO NESTA QUINTA-FEIRA (20), NO PALÁCIO MIRAFLORES, EM CARACAS. MADURO MANIFESTOU TAMBÉM</t>
        </is>
      </c>
      <c r="J1933">
        <f>HYPERLINK("https://portalamazonia.com/noticias/cidades/venezuela-anuncia-ampliacao-no-fornecimento-de-energia-eletrica-a-rr", "URL")</f>
        <v/>
      </c>
      <c r="K1933">
        <f>HYPERLINK("https://raw.githubusercontent.com/marcosmapl/dataset_imigrantes/main/noticias_filtered/portal_amazonia/venezuelanos/2018/08_set/html/15762.15762_1451.html", "HTML")</f>
        <v/>
      </c>
      <c r="L1933">
        <f>HYPERLINK("https://raw.githubusercontent.com/marcosmapl/dataset_imigrantes/main/noticias_filtered/portal_amazonia/venezuelanos/2018/08_set/txt/15762.15762_1451.txt", "TXT")</f>
        <v/>
      </c>
    </row>
    <row r="1934">
      <c r="A1934" s="1" t="n">
        <v>1932</v>
      </c>
      <c r="B1934" t="n">
        <v>2018</v>
      </c>
      <c r="C1934" s="2" t="n">
        <v>43364.52445601852</v>
      </c>
      <c r="D1934" t="inlineStr">
        <is>
          <t>A CRITICA</t>
        </is>
      </c>
      <c r="E1934" t="inlineStr">
        <is>
          <t>VENEZUELANOS</t>
        </is>
      </c>
      <c r="F1934" t="inlineStr"/>
      <c r="G1934" t="inlineStr">
        <is>
          <t>AFP</t>
        </is>
      </c>
      <c r="H1934" t="inlineStr">
        <is>
          <t>VENEZUELA DESCARTA CORTAR FORNECIMENTO DE ENERGIA PARA RORAIMA</t>
        </is>
      </c>
      <c r="I1934" t="inlineStr">
        <is>
          <t>RORAIMA, AFETADO PELA CRISE MIGRATÓRIA PROVOCADA PELA CHEGADA EM MASSA DE VENEZUELANOS, É O ÚNICO DOS 27 ESTADOS DA UNIÃO NÃO CONECTADO AO SISTEMA ELÉTRICO BRASILEIRO</t>
        </is>
      </c>
      <c r="J1934">
        <f>HYPERLINK("https://www.acritica.com/venezuela-descarta-cortar-fornecimento-de-energia-para-roraima-1.198269", "URL")</f>
        <v/>
      </c>
      <c r="K1934">
        <f>HYPERLINK("https://raw.githubusercontent.com/marcosmapl/dataset_imigrantes/main/noticias_filtered/a_critica/venezuelanos/2018/08_set/html/1.198269_1294.html", "HTML")</f>
        <v/>
      </c>
      <c r="L1934">
        <f>HYPERLINK("https://raw.githubusercontent.com/marcosmapl/dataset_imigrantes/main/noticias_filtered/a_critica/venezuelanos/2018/08_set/txt/1.198269_1294.txt", "TXT")</f>
        <v/>
      </c>
    </row>
    <row r="1935">
      <c r="A1935" s="1" t="n">
        <v>1933</v>
      </c>
      <c r="B1935" t="n">
        <v>2018</v>
      </c>
      <c r="C1935" s="2" t="n">
        <v>43363.73819444444</v>
      </c>
      <c r="D1935" t="inlineStr">
        <is>
          <t>PORTAL AMAZONIA</t>
        </is>
      </c>
      <c r="E1935" t="inlineStr">
        <is>
          <t>VENEZUELANOS</t>
        </is>
      </c>
      <c r="F1935" t="inlineStr">
        <is>
          <t>CIDADES</t>
        </is>
      </c>
      <c r="G1935" t="inlineStr">
        <is>
          <t>REDAÇÃO</t>
        </is>
      </c>
      <c r="H1935" t="inlineStr">
        <is>
          <t>RORAIMA PEDE AO STF TRANSFERÊNCIA DE 500 VENEZUELANOS POR DIA</t>
        </is>
      </c>
      <c r="I1935" t="inlineStr">
        <is>
          <t>EM UMA PROPOSTA ENVIADA AO SUPREMO TRIBUNAL FEDERAL (STF), O GOVERNO DE RORAIMA PEDE A TRANSFERÊNCIA DE, NO MÍNIMO, 500 VENEZUELANOS POR DIA PARA OUTROS ESTADOS, PARA FAZER FACE O FLUXO MIGRATÓRIO. O OBJETIVO É RESOLVER O IMPASSE COM A</t>
        </is>
      </c>
      <c r="J1935">
        <f>HYPERLINK("https://portalamazonia.com/noticias/cidades/roraima-pede-ao-stf-transferencia-de-500-venezuelanos-por-dia", "URL")</f>
        <v/>
      </c>
      <c r="K1935">
        <f>HYPERLINK("https://raw.githubusercontent.com/marcosmapl/dataset_imigrantes/main/noticias_filtered/portal_amazonia/venezuelanos/2018/08_set/html/15753.15753_1539.html", "HTML")</f>
        <v/>
      </c>
      <c r="L1935">
        <f>HYPERLINK("https://raw.githubusercontent.com/marcosmapl/dataset_imigrantes/main/noticias_filtered/portal_amazonia/venezuelanos/2018/08_set/txt/15753.15753_1539.txt", "TXT")</f>
        <v/>
      </c>
    </row>
    <row r="1936">
      <c r="A1936" s="1" t="n">
        <v>1934</v>
      </c>
      <c r="B1936" t="n">
        <v>2018</v>
      </c>
      <c r="C1936" s="2" t="n">
        <v>43362.73472222222</v>
      </c>
      <c r="D1936" t="inlineStr">
        <is>
          <t>PORTAL AMAZONIA</t>
        </is>
      </c>
      <c r="E1936" t="inlineStr">
        <is>
          <t>VENEZUELANOS</t>
        </is>
      </c>
      <c r="F1936" t="inlineStr">
        <is>
          <t>CIDADES</t>
        </is>
      </c>
      <c r="G1936" t="inlineStr">
        <is>
          <t>REDAÇÃO</t>
        </is>
      </c>
      <c r="H1936" t="inlineStr">
        <is>
          <t>MANAUS RECEBE MAIS 20 IMIGRANTES VENEZUELANOS TRANSFERIDOS DE RORAIMA</t>
        </is>
      </c>
      <c r="I1936" t="inlineStr">
        <is>
          <t>FOTO:REPRODUÇÃO/REDE AMAZÔNICANA MANHÃ DESTA QUARTA-FEIRA (19), UM GRUPO DE 20 VENEZUELANOS DEIXARAM BOA VISTA, EM RORAIMA, E DESEMBARCARAM EM MANAUS, EM MAIS UMA ETAPA DO PROJETO DE INTERIORIZAÇÃO DE IMIGRANTES PROMOVIDO PELO GOVERNO FEDERAL. OS IMI</t>
        </is>
      </c>
      <c r="J1936">
        <f>HYPERLINK("https://portalamazonia.com/noticias/cidades/manaus-recebe-mais-20-imigrantes-venezuelanos-transferidos-de-roraima", "URL")</f>
        <v/>
      </c>
      <c r="K1936">
        <f>HYPERLINK("https://raw.githubusercontent.com/marcosmapl/dataset_imigrantes/main/noticias_filtered/portal_amazonia/venezuelanos/2018/08_set/html/15742.15742_1611.html", "HTML")</f>
        <v/>
      </c>
      <c r="L1936">
        <f>HYPERLINK("https://raw.githubusercontent.com/marcosmapl/dataset_imigrantes/main/noticias_filtered/portal_amazonia/venezuelanos/2018/08_set/txt/15742.15742_1611.txt", "TXT")</f>
        <v/>
      </c>
    </row>
    <row r="1937">
      <c r="A1937" s="1" t="n">
        <v>1935</v>
      </c>
      <c r="B1937" t="n">
        <v>2018</v>
      </c>
      <c r="C1937" s="2" t="n">
        <v>43362.62679232639</v>
      </c>
      <c r="D1937" t="inlineStr">
        <is>
          <t>G1</t>
        </is>
      </c>
      <c r="E1937" t="inlineStr">
        <is>
          <t>VENEZUELANOS</t>
        </is>
      </c>
      <c r="F1937" t="inlineStr">
        <is>
          <t>MATO GROSSO</t>
        </is>
      </c>
      <c r="G1937" t="inlineStr">
        <is>
          <t>CRISTINA MAYUMI, TV CENTRO AMÉRICA</t>
        </is>
      </c>
      <c r="H1937" t="inlineStr">
        <is>
          <t>PROFESSORA VENEZUELANA PEDE EMPREGO PARA A FAMÍLIA EM MT APÓS SER DIAGNOSTICADA COM CÂNCER</t>
        </is>
      </c>
      <c r="I1937" t="inlineStr">
        <is>
          <t>MARLING TRINITARIO E A FAMÍLIA CHEGARAM NA CAPITAL DEPOIS DE PEGAREM CARONA COM MOTORISTAS NAS ESTRADAS. IMIGRANTES SE MUDARAM PARA MT FUGINDO DA CRISE POLÍTICA E ECONÔMICA NA VENEZUELA.</t>
        </is>
      </c>
      <c r="J1937">
        <f>HYPERLINK("https://g1.globo.com/mt/mato-grosso/noticia/2018/09/19/professora-venezuelana-pede-ajuda-para-conseguir-emprego-para-a-familia-em-mt-apos-ser-diagnosticada-com-cancer.ghtml", "URL")</f>
        <v/>
      </c>
      <c r="K1937">
        <f>HYPERLINK("https://raw.githubusercontent.com/marcosmapl/dataset_imigrantes/main/noticias_filtered/g1/venezuelanos/2018/08_set/html/g1_f7a747c8-230c-11ed-b24f-6dbe51e79fca_2659.html", "HTML")</f>
        <v/>
      </c>
      <c r="L1937">
        <f>HYPERLINK("https://raw.githubusercontent.com/marcosmapl/dataset_imigrantes/main/noticias_filtered/g1/venezuelanos/2018/08_set/txt/g1_f7a747c8-230c-11ed-b24f-6dbe51e79fca_2659.txt", "TXT")</f>
        <v/>
      </c>
    </row>
    <row r="1938">
      <c r="A1938" s="1" t="n">
        <v>1936</v>
      </c>
      <c r="B1938" t="n">
        <v>2018</v>
      </c>
      <c r="C1938" s="2" t="n">
        <v>43361.8949537037</v>
      </c>
      <c r="D1938" t="inlineStr">
        <is>
          <t>A CRITICA</t>
        </is>
      </c>
      <c r="E1938" t="inlineStr">
        <is>
          <t>VENEZUELANOS</t>
        </is>
      </c>
      <c r="F1938" t="inlineStr"/>
      <c r="G1938" t="inlineStr">
        <is>
          <t>REUTERS</t>
        </is>
      </c>
      <c r="H1938" t="inlineStr">
        <is>
          <t>MADURO DIZ QUE CONSPIRAÇÃO CONTRA SEU GOVERNO SE MANTÉM COM APOIO DOS EUA</t>
        </is>
      </c>
      <c r="I1938" t="inlineStr">
        <is>
          <t>MADURO APONTOU PARA UM VENEZUELANO RESIDENTE NO ESTADO DA FLÓRIDA COMO UM DOS ENVOLVIDOS NESSES PLANOS</t>
        </is>
      </c>
      <c r="J1938">
        <f>HYPERLINK("https://www.acritica.com/maduro-diz-que-conspirac-o-contra-seu-governo-se-mantem-com-apoio-dos-eua-1.198695", "URL")</f>
        <v/>
      </c>
      <c r="K1938">
        <f>HYPERLINK("https://raw.githubusercontent.com/marcosmapl/dataset_imigrantes/main/noticias_filtered/a_critica/venezuelanos/2018/08_set/html/1.198695_140.html", "HTML")</f>
        <v/>
      </c>
      <c r="L1938">
        <f>HYPERLINK("https://raw.githubusercontent.com/marcosmapl/dataset_imigrantes/main/noticias_filtered/a_critica/venezuelanos/2018/08_set/txt/1.198695_140.txt", "TXT")</f>
        <v/>
      </c>
    </row>
    <row r="1939">
      <c r="A1939" s="1" t="n">
        <v>1937</v>
      </c>
      <c r="B1939" t="n">
        <v>2018</v>
      </c>
      <c r="C1939" s="2" t="n">
        <v>43356.98903898148</v>
      </c>
      <c r="D1939" t="inlineStr">
        <is>
          <t>G1</t>
        </is>
      </c>
      <c r="E1939" t="inlineStr">
        <is>
          <t>VENEZUELANOS</t>
        </is>
      </c>
      <c r="F1939" t="inlineStr">
        <is>
          <t>RORAIMA</t>
        </is>
      </c>
      <c r="G1939" t="inlineStr">
        <is>
          <t>MARCELO MARQUES, G1 RR — BOA VISTA</t>
        </is>
      </c>
      <c r="H1939" t="inlineStr">
        <is>
          <t>VENEZUELANO É ESPANCADO POR MORADORES APÓS ROUBAR BOLSA DE MULHER EM RORAIMA</t>
        </is>
      </c>
      <c r="I1939" t="inlineStr">
        <is>
          <t>CRIMES OCORRERAM NO MESMO BAIRRO ONDE UM BRASILEIRO E UM VENEZUELANO FORAM ASSASSINADOS NO INÍCIO DO MÊS. VÍTIMA CONTOU À POLÍCIA QUE CAMINHAVA NO BAIRRO JARDIM FLORESTA QUANDO FOI SURPREENDIDA POR DOIS IMIGRANTES. UM DOS SUSPEITOS CONSEGUIU FUGIR.</t>
        </is>
      </c>
      <c r="J1939">
        <f>HYPERLINK("https://g1.globo.com/rr/roraima/noticia/2018/09/13/venezuelano-e-espancado-por-moradores-apos-roubar-bolsa-de-mulher-em-roraima.ghtml", "URL")</f>
        <v/>
      </c>
      <c r="K1939">
        <f>HYPERLINK("https://raw.githubusercontent.com/marcosmapl/dataset_imigrantes/main/noticias_filtered/g1/venezuelanos/2018/08_set/html/g1_43cf0f78-2321-11ed-b24f-6dbe51e79fca_3689.html", "HTML")</f>
        <v/>
      </c>
      <c r="L1939">
        <f>HYPERLINK("https://raw.githubusercontent.com/marcosmapl/dataset_imigrantes/main/noticias_filtered/g1/venezuelanos/2018/08_set/txt/g1_43cf0f78-2321-11ed-b24f-6dbe51e79fca_3689.txt", "TXT")</f>
        <v/>
      </c>
    </row>
    <row r="1940">
      <c r="A1940" s="1" t="n">
        <v>1938</v>
      </c>
      <c r="B1940" t="n">
        <v>2018</v>
      </c>
      <c r="C1940" s="2" t="n">
        <v>43356.96319444444</v>
      </c>
      <c r="D1940" t="inlineStr">
        <is>
          <t>A CRITICA</t>
        </is>
      </c>
      <c r="E1940" t="inlineStr">
        <is>
          <t>VENEZUELANOS</t>
        </is>
      </c>
      <c r="F1940" t="inlineStr">
        <is>
          <t>MANAUS</t>
        </is>
      </c>
      <c r="G1940" t="inlineStr">
        <is>
          <t>REBECA ALMEIDA</t>
        </is>
      </c>
      <c r="H1940" t="inlineStr">
        <is>
          <t>CANDIDATO AO GOVERNO, WILSON LIMA QUER RETOMAR O CONTROLE DOS PRESÍDIOS DO AM</t>
        </is>
      </c>
      <c r="I1940" t="inlineStr">
        <is>
          <t>ALÉM DE TECNOLOGIAS COMO BLOQUEADORES DE CELULAR, O CANDIDATO DO PSC, REDE E PRTB, PROPÕE AFASTAR O REGIME SEMI-ABERTO DO FECHADO</t>
        </is>
      </c>
      <c r="J1940">
        <f>HYPERLINK("https://www.acritica.com/manaus/candidato-ao-governo-wilson-lima-quer-retomar-o-controle-dos-presidios-do-am-1.199016", "URL")</f>
        <v/>
      </c>
      <c r="K1940">
        <f>HYPERLINK("https://raw.githubusercontent.com/marcosmapl/dataset_imigrantes/main/noticias_filtered/a_critica/venezuelanos/2018/08_set/html/1.199016_99.html", "HTML")</f>
        <v/>
      </c>
      <c r="L1940">
        <f>HYPERLINK("https://raw.githubusercontent.com/marcosmapl/dataset_imigrantes/main/noticias_filtered/a_critica/venezuelanos/2018/08_set/txt/1.199016_99.txt", "TXT")</f>
        <v/>
      </c>
    </row>
    <row r="1941">
      <c r="A1941" s="1" t="n">
        <v>1939</v>
      </c>
      <c r="B1941" t="n">
        <v>2018</v>
      </c>
      <c r="C1941" s="2" t="n">
        <v>43356.62644675926</v>
      </c>
      <c r="D1941" t="inlineStr">
        <is>
          <t>A CRITICA</t>
        </is>
      </c>
      <c r="E1941" t="inlineStr">
        <is>
          <t>VENEZUELANOS</t>
        </is>
      </c>
      <c r="F1941" t="inlineStr"/>
      <c r="G1941" t="inlineStr">
        <is>
          <t>ALEX RODRIGUES (AGÊNCIA BRASIL)</t>
        </is>
      </c>
      <c r="H1941" t="inlineStr">
        <is>
          <t>RORAIMA DIZ TER GARANTIAS DE QUE VENEZUELA NÃO CORTARÁ FORNECIMENTO DE ENERGIA</t>
        </is>
      </c>
      <c r="I1941" t="inlineStr">
        <is>
          <t>A POSSIBILIDADE DE DA ESTATAL ENERGÉTICA VENEZUELANA INTERROMPER O SERVIÇO DECORRE DE UMA DÍVIDA DE US$ 30 MILHÕES COM A ELETRONORTE</t>
        </is>
      </c>
      <c r="J1941">
        <f>HYPERLINK("https://www.acritica.com/roraima-diz-ter-garantias-de-que-venezuela-n-o-cortara-fornecimento-de-energia-1.199020", "URL")</f>
        <v/>
      </c>
      <c r="K1941">
        <f>HYPERLINK("https://raw.githubusercontent.com/marcosmapl/dataset_imigrantes/main/noticias_filtered/a_critica/venezuelanos/2018/08_set/html/1.199020_1076.html", "HTML")</f>
        <v/>
      </c>
      <c r="L1941">
        <f>HYPERLINK("https://raw.githubusercontent.com/marcosmapl/dataset_imigrantes/main/noticias_filtered/a_critica/venezuelanos/2018/08_set/txt/1.199020_1076.txt", "TXT")</f>
        <v/>
      </c>
    </row>
    <row r="1942">
      <c r="A1942" s="1" t="n">
        <v>1940</v>
      </c>
      <c r="B1942" t="n">
        <v>2018</v>
      </c>
      <c r="C1942" s="2" t="n">
        <v>43355.55171825232</v>
      </c>
      <c r="D1942" t="inlineStr">
        <is>
          <t>G1</t>
        </is>
      </c>
      <c r="E1942" t="inlineStr">
        <is>
          <t>VENEZUELANOS</t>
        </is>
      </c>
      <c r="F1942" t="inlineStr">
        <is>
          <t>RORAIMA</t>
        </is>
      </c>
      <c r="G1942" t="inlineStr">
        <is>
          <t>MARCELO MARQUES, G1 RR — BOA VISTA</t>
        </is>
      </c>
      <c r="H1942" t="inlineStr">
        <is>
          <t>UNICEF QUER AUMENTAR AÇÕES PARA CRIANÇAS VENEZUELANAS EM ABRIGOS DE RR E COMBATER PROSTITUIÇÃO INFANTIL</t>
        </is>
      </c>
      <c r="I1942" t="inlineStr">
        <is>
          <t>ÓRGÃO TAMBÉM PRETENDE ESTENDER ATIVIDADES PARA CRIANÇAS E ADOLESCENTES EM SITUAÇÃO DE RUA.</t>
        </is>
      </c>
      <c r="J1942">
        <f>HYPERLINK("https://g1.globo.com/rr/roraima/noticia/2018/09/12/unicef-quer-aumentar-acoes-para-criancas-venezuelanas-em-abrigos-de-rr-e-combater-prostituicao-infantil.ghtml", "URL")</f>
        <v/>
      </c>
      <c r="K1942">
        <f>HYPERLINK("https://raw.githubusercontent.com/marcosmapl/dataset_imigrantes/main/noticias_filtered/g1/venezuelanos/2018/08_set/html/g1_3d75df9a-231b-11ed-b24f-6dbe51e79fca_3373.html", "HTML")</f>
        <v/>
      </c>
      <c r="L1942">
        <f>HYPERLINK("https://raw.githubusercontent.com/marcosmapl/dataset_imigrantes/main/noticias_filtered/g1/venezuelanos/2018/08_set/txt/g1_3d75df9a-231b-11ed-b24f-6dbe51e79fca_3373.txt", "TXT")</f>
        <v/>
      </c>
    </row>
    <row r="1943">
      <c r="A1943" s="1" t="n">
        <v>1941</v>
      </c>
      <c r="B1943" t="n">
        <v>2018</v>
      </c>
      <c r="C1943" s="2" t="n">
        <v>43355.42765046296</v>
      </c>
      <c r="D1943" t="inlineStr">
        <is>
          <t>A CRITICA</t>
        </is>
      </c>
      <c r="E1943" t="inlineStr">
        <is>
          <t>AMBOS</t>
        </is>
      </c>
      <c r="F1943" t="inlineStr">
        <is>
          <t>OPINIAO</t>
        </is>
      </c>
      <c r="G1943" t="inlineStr"/>
      <c r="H1943" t="inlineStr">
        <is>
          <t>AJUDAR É SEMPRE MELHOR</t>
        </is>
      </c>
      <c r="I1943" t="inlineStr"/>
      <c r="J1943">
        <f>HYPERLINK("https://www.acritica.com/opiniao/ajudar-e-sempre-melhor-1.228828", "URL")</f>
        <v/>
      </c>
      <c r="K1943">
        <f>HYPERLINK("https://raw.githubusercontent.com/marcosmapl/dataset_imigrantes/main/noticias_filtered/a_critica/ambos/2018/08_set/html/1.228828_166.html", "HTML")</f>
        <v/>
      </c>
      <c r="L1943">
        <f>HYPERLINK("https://raw.githubusercontent.com/marcosmapl/dataset_imigrantes/main/noticias_filtered/a_critica/ambos/2018/08_set/txt/1.228828_166.txt", "TXT")</f>
        <v/>
      </c>
    </row>
    <row r="1944">
      <c r="A1944" s="1" t="n">
        <v>1942</v>
      </c>
      <c r="B1944" t="n">
        <v>2018</v>
      </c>
      <c r="C1944" s="2" t="n">
        <v>43354.96445921296</v>
      </c>
      <c r="D1944" t="inlineStr">
        <is>
          <t>G1</t>
        </is>
      </c>
      <c r="E1944" t="inlineStr">
        <is>
          <t>VENEZUELANOS</t>
        </is>
      </c>
      <c r="F1944" t="inlineStr">
        <is>
          <t>ECONOMIA</t>
        </is>
      </c>
      <c r="G1944" t="inlineStr">
        <is>
          <t>LAÍS LIS, G1 — BRASÍLIA</t>
        </is>
      </c>
      <c r="H1944" t="inlineStr">
        <is>
          <t>GOVERNADORA DE RR PROPÕE À UNIÃO QUE ELETROBRAS ASSUMA MANUTENÇÃO DE LINHA DE TRANSMISSÃO VENEZUELANA</t>
        </is>
      </c>
      <c r="I1944" t="inlineStr">
        <is>
          <t>SUELY CAMPOS (PP) SE REUNIU COM MINISTRO DE MINAS E ENERGIA, MOREIRA FRANCO. RORAIMA É O ÚNICO ESTADO QUE NÃO ESTÁ INTERLIGADO AO SISTEMA NACIONAL E DEPENDE DE ENERGIA DA VENEZUELA.</t>
        </is>
      </c>
      <c r="J1944">
        <f>HYPERLINK("https://g1.globo.com/economia/noticia/2018/09/11/governadora-de-rr-propoe-a-uniao-que-eletrobras-assuma-manutencao-de-linha-de-transmissao-venezuelana.ghtml", "URL")</f>
        <v/>
      </c>
      <c r="K1944">
        <f>HYPERLINK("https://raw.githubusercontent.com/marcosmapl/dataset_imigrantes/main/noticias_filtered/g1/venezuelanos/2018/08_set/html/g1_8a4536e8-2327-11ed-b24f-6dbe51e79fca_4039.html", "HTML")</f>
        <v/>
      </c>
      <c r="L1944">
        <f>HYPERLINK("https://raw.githubusercontent.com/marcosmapl/dataset_imigrantes/main/noticias_filtered/g1/venezuelanos/2018/08_set/txt/g1_8a4536e8-2327-11ed-b24f-6dbe51e79fca_4039.txt", "TXT")</f>
        <v/>
      </c>
    </row>
    <row r="1945">
      <c r="A1945" s="1" t="n">
        <v>1943</v>
      </c>
      <c r="B1945" t="n">
        <v>2018</v>
      </c>
      <c r="C1945" s="2" t="n">
        <v>43354.8125</v>
      </c>
      <c r="D1945" t="inlineStr">
        <is>
          <t>PORTAL AMAZONIA</t>
        </is>
      </c>
      <c r="E1945" t="inlineStr">
        <is>
          <t>VENEZUELANOS</t>
        </is>
      </c>
      <c r="F1945" t="inlineStr">
        <is>
          <t>CIDADES</t>
        </is>
      </c>
      <c r="G1945" t="inlineStr">
        <is>
          <t>REDAÇÃO</t>
        </is>
      </c>
      <c r="H1945" t="inlineStr">
        <is>
          <t>FRANÇA DOA € 200 MIL PARA ACOLHIMENTO DE VENEZUELANOS EM MANAUS</t>
        </is>
      </c>
      <c r="I1945" t="inlineStr">
        <is>
          <t>FOTO:BIANCA PAIVA/AGÊNCIA BRASIL A CIDADE DE MANAUS VAI COMEÇAR A RECEBER, A PARTIR DESTA SEXTA-FEIRA (14), UMA AJUDA FINANCEIRA NO VALOR DE € 200 MIL, EQUIVALENTE A R$ 1 MILHÃO, PARA O ATENDIMENTO A IMIGRANTES VENEZUELANOS. A QUA</t>
        </is>
      </c>
      <c r="J1945">
        <f>HYPERLINK("https://portalamazonia.com/noticias/cidades/franca-doa-200-mil-para-acolhimento-de-venezuelanos-em-manaus", "URL")</f>
        <v/>
      </c>
      <c r="K1945">
        <f>HYPERLINK("https://raw.githubusercontent.com/marcosmapl/dataset_imigrantes/main/noticias_filtered/portal_amazonia/venezuelanos/2018/08_set/html/15667.15667_1387.html", "HTML")</f>
        <v/>
      </c>
      <c r="L1945">
        <f>HYPERLINK("https://raw.githubusercontent.com/marcosmapl/dataset_imigrantes/main/noticias_filtered/portal_amazonia/venezuelanos/2018/08_set/txt/15667.15667_1387.txt", "TXT")</f>
        <v/>
      </c>
    </row>
    <row r="1946">
      <c r="A1946" s="1" t="n">
        <v>1944</v>
      </c>
      <c r="B1946" t="n">
        <v>2018</v>
      </c>
      <c r="C1946" s="2" t="n">
        <v>43354.79375</v>
      </c>
      <c r="D1946" t="inlineStr">
        <is>
          <t>A CRITICA</t>
        </is>
      </c>
      <c r="E1946" t="inlineStr">
        <is>
          <t>VENEZUELANOS</t>
        </is>
      </c>
      <c r="F1946" t="inlineStr">
        <is>
          <t>MANAUS</t>
        </is>
      </c>
      <c r="G1946" t="inlineStr">
        <is>
          <t>ACRÍTICA.COM</t>
        </is>
      </c>
      <c r="H1946" t="inlineStr">
        <is>
          <t>UNIVERSITÁRIOS PROMOVEM MUTIRÃO DE SAÚDE PARA VENEZUELANOS EM ABRIGO</t>
        </is>
      </c>
      <c r="I1946" t="inlineStr">
        <is>
          <t>PROGRAMAÇÃO ACONTECERÁ NO SÁBADO (15) COM DIVERSOS SERVIÇOS PARA PESSOAS ACOLHIDAS NO ABRIGO CASA DE ACOLHIDA SANTA CATARINA DE SENA</t>
        </is>
      </c>
      <c r="J1946">
        <f>HYPERLINK("https://www.acritica.com/manaus/universitarios-promovem-mutir-o-de-saude-para-venezuelanos-em-abrigo-1.82315", "URL")</f>
        <v/>
      </c>
      <c r="K1946">
        <f>HYPERLINK("https://raw.githubusercontent.com/marcosmapl/dataset_imigrantes/main/noticias_filtered/a_critica/venezuelanos/2018/08_set/html/1.82315_148.html", "HTML")</f>
        <v/>
      </c>
      <c r="L1946">
        <f>HYPERLINK("https://raw.githubusercontent.com/marcosmapl/dataset_imigrantes/main/noticias_filtered/a_critica/venezuelanos/2018/08_set/txt/1.82315_148.txt", "TXT")</f>
        <v/>
      </c>
    </row>
    <row r="1947">
      <c r="A1947" s="1" t="n">
        <v>1945</v>
      </c>
      <c r="B1947" t="n">
        <v>2018</v>
      </c>
      <c r="C1947" s="2" t="n">
        <v>43354.70438657407</v>
      </c>
      <c r="D1947" t="inlineStr">
        <is>
          <t>A CRITICA</t>
        </is>
      </c>
      <c r="E1947" t="inlineStr">
        <is>
          <t>VENEZUELANOS</t>
        </is>
      </c>
      <c r="F1947" t="inlineStr">
        <is>
          <t>MANAUS</t>
        </is>
      </c>
      <c r="G1947" t="inlineStr">
        <is>
          <t>CAROLINA GONÇALVES (AGÊNCIA BRASIL)</t>
        </is>
      </c>
      <c r="H1947" t="inlineStr">
        <is>
          <t>FRANÇA LIBERA 200 MIL EUROS PARA ACOLHIMENTO DE VENEZUELANOS EM MANAUS</t>
        </is>
      </c>
      <c r="I1947" t="inlineStr">
        <is>
          <t>A AJUDA FINANCEIRA, EQUIVALENTE A R$ 1 MILHÃO, É DESTINADO À CÁRITAS ARQUIEDIOCESANA, QUE TEM PRESTADO ASSISTÊNCIA HUMANITÁRIA AOS IMIGRANTES</t>
        </is>
      </c>
      <c r="J1947">
        <f>HYPERLINK("https://www.acritica.com/manaus/franca-libera-200-mil-euros-para-acolhimento-de-venezuelanos-em-manaus-1.199183", "URL")</f>
        <v/>
      </c>
      <c r="K1947">
        <f>HYPERLINK("https://raw.githubusercontent.com/marcosmapl/dataset_imigrantes/main/noticias_filtered/a_critica/venezuelanos/2018/08_set/html/1.199183_77.html", "HTML")</f>
        <v/>
      </c>
      <c r="L1947">
        <f>HYPERLINK("https://raw.githubusercontent.com/marcosmapl/dataset_imigrantes/main/noticias_filtered/a_critica/venezuelanos/2018/08_set/txt/1.199183_77.txt", "TXT")</f>
        <v/>
      </c>
    </row>
    <row r="1948">
      <c r="A1948" s="1" t="n">
        <v>1946</v>
      </c>
      <c r="B1948" t="n">
        <v>2018</v>
      </c>
      <c r="C1948" s="2" t="n">
        <v>43354.41725947917</v>
      </c>
      <c r="D1948" t="inlineStr">
        <is>
          <t>G1</t>
        </is>
      </c>
      <c r="E1948" t="inlineStr">
        <is>
          <t>VENEZUELANOS</t>
        </is>
      </c>
      <c r="F1948" t="inlineStr">
        <is>
          <t>RIO GRANDE DO NORTE</t>
        </is>
      </c>
      <c r="G1948" t="inlineStr">
        <is>
          <t>IGOR JÁCOME, G1 RN</t>
        </is>
      </c>
      <c r="H1948" t="inlineStr">
        <is>
          <t>APÓS ATRAVESSAR O PAÍS DE CARONA EM CAMINHÕES, IMIGRANTE VENEZUELANO ENCONTRA LAR NO RN: 'É MARAVILHOSO'</t>
        </is>
      </c>
      <c r="I1948" t="inlineStr">
        <is>
          <t>DANIEL OROZCO CHEGOU SOZINHO AO BRASIL E, COM AJUDA DE AMIGOS QUE FEZ NO PAÍS, TROUXE ESPOSA E FILHAS PARA NATAL. FAMÍLIA SONHA COM VISTO PERMANENTE.</t>
        </is>
      </c>
      <c r="J1948">
        <f>HYPERLINK("https://g1.globo.com/rn/rio-grande-do-norte/noticia/2018/09/11/apos-atravessar-o-pais-de-carona-em-caminhoes-imigrante-venezuelano-encontra-lar-no-rn-e-maravilhoso.ghtml", "URL")</f>
        <v/>
      </c>
      <c r="K1948">
        <f>HYPERLINK("https://raw.githubusercontent.com/marcosmapl/dataset_imigrantes/main/noticias_filtered/g1/venezuelanos/2018/08_set/html/g1_f84234be-2310-11ed-b24f-6dbe51e79fca_2888.html", "HTML")</f>
        <v/>
      </c>
      <c r="L1948">
        <f>HYPERLINK("https://raw.githubusercontent.com/marcosmapl/dataset_imigrantes/main/noticias_filtered/g1/venezuelanos/2018/08_set/txt/g1_f84234be-2310-11ed-b24f-6dbe51e79fca_2888.txt", "TXT")</f>
        <v/>
      </c>
    </row>
    <row r="1949">
      <c r="A1949" s="1" t="n">
        <v>1947</v>
      </c>
      <c r="B1949" t="n">
        <v>2018</v>
      </c>
      <c r="C1949" s="2" t="n">
        <v>43352.64288971065</v>
      </c>
      <c r="D1949" t="inlineStr">
        <is>
          <t>G1</t>
        </is>
      </c>
      <c r="E1949" t="inlineStr">
        <is>
          <t>VENEZUELANOS</t>
        </is>
      </c>
      <c r="F1949" t="inlineStr">
        <is>
          <t>RORAIMA</t>
        </is>
      </c>
      <c r="G1949" t="inlineStr">
        <is>
          <t>MARCELO MARQUES, G1 RR</t>
        </is>
      </c>
      <c r="H1949" t="inlineStr">
        <is>
          <t>MAIS 104 IMIGRANTES EM RORAIMA SÃO REPATRIADOS COM APOIO DE IGREJA VENEZUELANA: 'TERÃO COMIDA E EMPREGO'</t>
        </is>
      </c>
      <c r="I1949" t="inlineStr">
        <is>
          <t>IMIGRANTES FORAM LEVADOS EM DOIS ÔNIBUS FRETADOS POR IGREJA CATÓLICA DO PAÍS VIZINHO, AFIRMA REPRESENTANTE.</t>
        </is>
      </c>
      <c r="J1949">
        <f>HYPERLINK("https://g1.globo.com/rr/roraima/noticia/2018/09/09/mais-104-imigrantes-em-rr-sao-repatriados-com-apoio-de-igreja-venezuelana-terao-comida-e-emprego.ghtml", "URL")</f>
        <v/>
      </c>
      <c r="K1949">
        <f>HYPERLINK("https://raw.githubusercontent.com/marcosmapl/dataset_imigrantes/main/noticias_filtered/g1/venezuelanos/2018/08_set/html/g1_e3eefec4-2311-11ed-b24f-6dbe51e79fca_2939.html", "HTML")</f>
        <v/>
      </c>
      <c r="L1949">
        <f>HYPERLINK("https://raw.githubusercontent.com/marcosmapl/dataset_imigrantes/main/noticias_filtered/g1/venezuelanos/2018/08_set/txt/g1_e3eefec4-2311-11ed-b24f-6dbe51e79fca_2939.txt", "TXT")</f>
        <v/>
      </c>
    </row>
    <row r="1950">
      <c r="A1950" s="1" t="n">
        <v>1948</v>
      </c>
      <c r="B1950" t="n">
        <v>2018</v>
      </c>
      <c r="C1950" s="2" t="n">
        <v>43352.01612096064</v>
      </c>
      <c r="D1950" t="inlineStr">
        <is>
          <t>G1</t>
        </is>
      </c>
      <c r="E1950" t="inlineStr">
        <is>
          <t>VENEZUELANOS</t>
        </is>
      </c>
      <c r="F1950" t="inlineStr">
        <is>
          <t>RORAIMA</t>
        </is>
      </c>
      <c r="G1950" t="inlineStr">
        <is>
          <t>INAÊ BRANDÃO E VALÉRIA OLIVEIRA, G1 RR — BOA VISTA</t>
        </is>
      </c>
      <c r="H1950" t="inlineStr">
        <is>
          <t>'VIM PROCURÁ-LO E O ENCONTREI MORTO', DIZ IRMÃ DE VENEZUELANO LINCHADO POR BRASILEIROS EM RORAIMA</t>
        </is>
      </c>
      <c r="I1950" t="inlineStr">
        <is>
          <t>JOSE ANTONIO GONZALEZ, 19, FOI ASSASSINADO NA QUINTA (6), SUSPEITO DE MATAR BRASILEIRO COM FACADA. CORPO FOI LIBERADO NESTE SÁBADO (8), MAS SEGUE NO IML.</t>
        </is>
      </c>
      <c r="J1950">
        <f>HYPERLINK("https://g1.globo.com/rr/roraima/noticia/2018/09/08/vim-procura-lo-e-o-encontrei-morto-diz-irma-de-venezuelano-linchado-por-brasileiros-em-roraima.ghtml", "URL")</f>
        <v/>
      </c>
      <c r="K1950">
        <f>HYPERLINK("https://raw.githubusercontent.com/marcosmapl/dataset_imigrantes/main/noticias_filtered/g1/venezuelanos/2018/08_set/html/g1_d373970e-2306-11ed-b24f-6dbe51e79fca_2280.html", "HTML")</f>
        <v/>
      </c>
      <c r="L1950">
        <f>HYPERLINK("https://raw.githubusercontent.com/marcosmapl/dataset_imigrantes/main/noticias_filtered/g1/venezuelanos/2018/08_set/txt/g1_d373970e-2306-11ed-b24f-6dbe51e79fca_2280.txt", "TXT")</f>
        <v/>
      </c>
    </row>
    <row r="1951">
      <c r="A1951" s="1" t="n">
        <v>1949</v>
      </c>
      <c r="B1951" t="n">
        <v>2018</v>
      </c>
      <c r="C1951" s="2" t="n">
        <v>43351.85903935185</v>
      </c>
      <c r="D1951" t="inlineStr">
        <is>
          <t>A CRITICA</t>
        </is>
      </c>
      <c r="E1951" t="inlineStr">
        <is>
          <t>VENEZUELANOS</t>
        </is>
      </c>
      <c r="F1951" t="inlineStr">
        <is>
          <t>OPINIAO</t>
        </is>
      </c>
      <c r="G1951" t="inlineStr"/>
      <c r="H1951" t="inlineStr">
        <is>
          <t>O RASTRO DA OMISSÃO</t>
        </is>
      </c>
      <c r="I1951" t="inlineStr"/>
      <c r="J1951">
        <f>HYPERLINK("https://www.acritica.com/opiniao/o-rastro-da-omiss-o-1.228840", "URL")</f>
        <v/>
      </c>
      <c r="K1951">
        <f>HYPERLINK("https://raw.githubusercontent.com/marcosmapl/dataset_imigrantes/main/noticias_filtered/a_critica/venezuelanos/2018/08_set/html/1.228840_992.html", "HTML")</f>
        <v/>
      </c>
      <c r="L1951">
        <f>HYPERLINK("https://raw.githubusercontent.com/marcosmapl/dataset_imigrantes/main/noticias_filtered/a_critica/venezuelanos/2018/08_set/txt/1.228840_992.txt", "TXT")</f>
        <v/>
      </c>
    </row>
    <row r="1952">
      <c r="A1952" s="1" t="n">
        <v>1950</v>
      </c>
      <c r="B1952" t="n">
        <v>2018</v>
      </c>
      <c r="C1952" s="2" t="n">
        <v>43351.84929260417</v>
      </c>
      <c r="D1952" t="inlineStr">
        <is>
          <t>G1</t>
        </is>
      </c>
      <c r="E1952" t="inlineStr">
        <is>
          <t>VENEZUELANOS</t>
        </is>
      </c>
      <c r="F1952" t="inlineStr">
        <is>
          <t>RORAIMA</t>
        </is>
      </c>
      <c r="G1952" t="inlineStr">
        <is>
          <t>INAÊ BRANDÃO, VALÉRIA OLIVEIRA E EMILY COSTA, G1 RR — BOA VISTA</t>
        </is>
      </c>
      <c r="H1952" t="inlineStr">
        <is>
          <t>APÓS CORTEJO, CORPO DE BRASILEIRO ESFAQUEADO POR VENEZUELANO DURANTE CONFUSÃO É ENTERRADO EM BOA VISTA</t>
        </is>
      </c>
      <c r="I1952" t="inlineStr">
        <is>
          <t>MANOEL SIQUEIRA DE SOUZA, DE 35 ANOS,  FOI ASSASSINADO NA NOITE DE QUINTA-FEIRA (6). SUSPEITO DO CRIME, O VENEZUELANO JOSÉ ANTONIO GONZALEZ, 19, FOI LINCHADO ATÉ A MORTE POUCO DEPOIS.</t>
        </is>
      </c>
      <c r="J1952">
        <f>HYPERLINK("https://g1.globo.com/rr/roraima/noticia/2018/09/08/apos-cortejo-brasileiro-esfaqueado-por-venezuelano-durante-confusao-e-enterrado-em-boa-vista.ghtml", "URL")</f>
        <v/>
      </c>
      <c r="K1952">
        <f>HYPERLINK("https://raw.githubusercontent.com/marcosmapl/dataset_imigrantes/main/noticias_filtered/g1/venezuelanos/2018/08_set/html/g1_d97a3da2-2323-11ed-b24f-6dbe51e79fca_3832.html", "HTML")</f>
        <v/>
      </c>
      <c r="L1952">
        <f>HYPERLINK("https://raw.githubusercontent.com/marcosmapl/dataset_imigrantes/main/noticias_filtered/g1/venezuelanos/2018/08_set/txt/g1_d97a3da2-2323-11ed-b24f-6dbe51e79fca_3832.txt", "TXT")</f>
        <v/>
      </c>
    </row>
    <row r="1953">
      <c r="A1953" s="1" t="n">
        <v>1951</v>
      </c>
      <c r="B1953" t="n">
        <v>2018</v>
      </c>
      <c r="C1953" s="2" t="n">
        <v>43351.75607638889</v>
      </c>
      <c r="D1953" t="inlineStr">
        <is>
          <t>A CRITICA</t>
        </is>
      </c>
      <c r="E1953" t="inlineStr">
        <is>
          <t>VENEZUELANOS</t>
        </is>
      </c>
      <c r="F1953" t="inlineStr"/>
      <c r="G1953" t="inlineStr">
        <is>
          <t>AFP</t>
        </is>
      </c>
      <c r="H1953" t="inlineStr">
        <is>
          <t>GIGANTE DOS PNEUS, PIRELLI ANUNCIA A VENDA DE SUAS ATIVIDADES NA VENEZUELA</t>
        </is>
      </c>
      <c r="I1953" t="inlineStr">
        <is>
          <t>EMPRESA DEIXA O PAÍS SUL-AMERICANO EM ACORDO COM GRUPO DE EMPRESÁRIOS E A SOMMERS INTERNATIONAL, QUE PREVÊ A MANUTENÇÃO DOS EMPREGOS</t>
        </is>
      </c>
      <c r="J1953">
        <f>HYPERLINK("https://www.acritica.com/gigante-dos-pneus-pirelli-anuncia-a-venda-de-suas-atividades-na-venezuela-1.93094", "URL")</f>
        <v/>
      </c>
      <c r="K1953">
        <f>HYPERLINK("https://raw.githubusercontent.com/marcosmapl/dataset_imigrantes/main/noticias_filtered/a_critica/venezuelanos/2018/08_set/html/1.93094_904.html", "HTML")</f>
        <v/>
      </c>
      <c r="L1953">
        <f>HYPERLINK("https://raw.githubusercontent.com/marcosmapl/dataset_imigrantes/main/noticias_filtered/a_critica/venezuelanos/2018/08_set/txt/1.93094_904.txt", "TXT")</f>
        <v/>
      </c>
    </row>
    <row r="1954">
      <c r="A1954" s="1" t="n">
        <v>1952</v>
      </c>
      <c r="B1954" t="n">
        <v>2018</v>
      </c>
      <c r="C1954" s="2" t="n">
        <v>43351.57619506944</v>
      </c>
      <c r="D1954" t="inlineStr">
        <is>
          <t>G1</t>
        </is>
      </c>
      <c r="E1954" t="inlineStr">
        <is>
          <t>VENEZUELANOS</t>
        </is>
      </c>
      <c r="F1954" t="inlineStr">
        <is>
          <t>RORAIMA</t>
        </is>
      </c>
      <c r="G1954" t="inlineStr">
        <is>
          <t>G1 RR — BOA VISTA</t>
        </is>
      </c>
      <c r="H1954" t="inlineStr">
        <is>
          <t>VOCÊ VIU? SOBRINHO MATA TIO, IMIGRANTES EM ALDEIAS DE RR, MORTES DE BRASILEIRO E VENEZUELANO DURANTE CONFUSÃO E MAIS</t>
        </is>
      </c>
      <c r="I1954" t="inlineStr">
        <is>
          <t>VEJA AS PRINCIPAIS NOTÍCIAS PUBLICADAS ENTRE OS DIAS 2 DE AGOSTO E 7 DE SETEMBRO.</t>
        </is>
      </c>
      <c r="J1954">
        <f>HYPERLINK("https://g1.globo.com/rr/roraima/noticia/2018/09/08/voce-viu-sobrinho-mata-tio-imigrantes-em-aldeias-de-rr-mortes-de-brasileiro-e-venezuelano-durante-confusao-e-mais.ghtml", "URL")</f>
        <v/>
      </c>
      <c r="K1954">
        <f>HYPERLINK("https://raw.githubusercontent.com/marcosmapl/dataset_imigrantes/main/noticias_filtered/g1/venezuelanos/2018/08_set/html/g1_df0cd942-232c-11ed-b24f-6dbe51e79fca_4331.html", "HTML")</f>
        <v/>
      </c>
      <c r="L1954">
        <f>HYPERLINK("https://raw.githubusercontent.com/marcosmapl/dataset_imigrantes/main/noticias_filtered/g1/venezuelanos/2018/08_set/txt/g1_df0cd942-232c-11ed-b24f-6dbe51e79fca_4331.txt", "TXT")</f>
        <v/>
      </c>
    </row>
    <row r="1955">
      <c r="A1955" s="1" t="n">
        <v>1953</v>
      </c>
      <c r="B1955" t="n">
        <v>2018</v>
      </c>
      <c r="C1955" s="2" t="n">
        <v>43351.0137718287</v>
      </c>
      <c r="D1955" t="inlineStr">
        <is>
          <t>G1</t>
        </is>
      </c>
      <c r="E1955" t="inlineStr">
        <is>
          <t>VENEZUELANOS</t>
        </is>
      </c>
      <c r="F1955" t="inlineStr">
        <is>
          <t>RORAIMA</t>
        </is>
      </c>
      <c r="G1955" t="inlineStr">
        <is>
          <t>EMILY COSTA, G1 RR — BOA VISTA</t>
        </is>
      </c>
      <c r="H1955" t="inlineStr">
        <is>
          <t>POLÍCIA CIVIL VAI INVESTIGAR ASSASSINATOS DE BRASILEIRO E VENEZUELANO DURANTE CONFUSÃO EM BOA VISTA</t>
        </is>
      </c>
      <c r="I1955" t="inlineStr">
        <is>
          <t>VENEZUELANO JOSE GONZALEZ, 19, FOI ESPANCADO ATÉ A MORTE DEPOIS DE ESFAQUEAR E MATAR O BRASILEIRO MANOEL SIQUEIRA DE SOUSA, 35, SEGUNDO A POLÍCIA MILITAR. IMIGRANTE TERIA FURTADO MERCADO E NA FUGA FOI CAPTURADO PELO BRASILEIRO; FORÇA NACIONAL E PM ATUAM EM ALERTA.</t>
        </is>
      </c>
      <c r="J1955">
        <f>HYPERLINK("https://g1.globo.com/rr/roraima/noticia/2018/09/07/policia-civil-vai-investigar-assassinatos-de-brasileiro-e-venezuelano-durante-confusao-em-boa-vista.ghtml", "URL")</f>
        <v/>
      </c>
      <c r="K1955">
        <f>HYPERLINK("https://raw.githubusercontent.com/marcosmapl/dataset_imigrantes/main/noticias_filtered/g1/venezuelanos/2018/08_set/html/g1_4608a3aa-2324-11ed-b24f-6dbe51e79fca_3860.html", "HTML")</f>
        <v/>
      </c>
      <c r="L1955">
        <f>HYPERLINK("https://raw.githubusercontent.com/marcosmapl/dataset_imigrantes/main/noticias_filtered/g1/venezuelanos/2018/08_set/txt/g1_4608a3aa-2324-11ed-b24f-6dbe51e79fca_3860.txt", "TXT")</f>
        <v/>
      </c>
    </row>
    <row r="1956">
      <c r="A1956" s="1" t="n">
        <v>1954</v>
      </c>
      <c r="B1956" t="n">
        <v>2018</v>
      </c>
      <c r="C1956" s="2" t="n">
        <v>43350.95318841435</v>
      </c>
      <c r="D1956" t="inlineStr">
        <is>
          <t>G1</t>
        </is>
      </c>
      <c r="E1956" t="inlineStr">
        <is>
          <t>VENEZUELANOS</t>
        </is>
      </c>
      <c r="F1956" t="inlineStr">
        <is>
          <t>RORAIMA</t>
        </is>
      </c>
      <c r="G1956" t="inlineStr">
        <is>
          <t>INAÊ BRANDÃO E VALÉRIA OLIVEIRA, G1 RR — BOA VISTA</t>
        </is>
      </c>
      <c r="H1956" t="inlineStr">
        <is>
          <t>CORPO DE BRASILEIRO MORTO POR VENEZUELANO EM CONFUSÃO É VELADO EM CLIMA DE TENSÃO EM BOA VISTA</t>
        </is>
      </c>
      <c r="I1956" t="inlineStr">
        <is>
          <t>BRASILEIRO FOI MORTO NESTA QUINTA (6) POR VENEZUELANO SUSPEITO DE ROUBAR MERCADO NO JARDIM FLORESTA. IMIGRANTE FOI LINCHADO ATÉ A MORTE POR MORADORES. CLIMA NO BAIRRO É DE TENSÃO E A POLÍCIA CIVIL NÃO INFORMOU SE ABRIU INVESTIGAÇÃO.</t>
        </is>
      </c>
      <c r="J1956">
        <f>HYPERLINK("https://g1.globo.com/rr/roraima/noticia/2018/09/07/corpo-de-brasileiro-morto-por-venezuelano-em-confusao-e-velado-em-clima-de-tensao-em-boa-vista.ghtml", "URL")</f>
        <v/>
      </c>
      <c r="K1956">
        <f>HYPERLINK("https://raw.githubusercontent.com/marcosmapl/dataset_imigrantes/main/noticias_filtered/g1/venezuelanos/2018/08_set/html/g1_9b7e0e4a-230d-11ed-b24f-6dbe51e79fca_2697.html", "HTML")</f>
        <v/>
      </c>
      <c r="L1956">
        <f>HYPERLINK("https://raw.githubusercontent.com/marcosmapl/dataset_imigrantes/main/noticias_filtered/g1/venezuelanos/2018/08_set/txt/g1_9b7e0e4a-230d-11ed-b24f-6dbe51e79fca_2697.txt", "TXT")</f>
        <v/>
      </c>
    </row>
    <row r="1957">
      <c r="A1957" s="1" t="n">
        <v>1955</v>
      </c>
      <c r="B1957" t="n">
        <v>2018</v>
      </c>
      <c r="C1957" s="2" t="n">
        <v>43350.28402777778</v>
      </c>
      <c r="D1957" t="inlineStr">
        <is>
          <t>A CRITICA</t>
        </is>
      </c>
      <c r="E1957" t="inlineStr">
        <is>
          <t>VENEZUELANOS</t>
        </is>
      </c>
      <c r="F1957" t="inlineStr">
        <is>
          <t>MANAUS</t>
        </is>
      </c>
      <c r="G1957" t="inlineStr">
        <is>
          <t>NELSON BRILHANTE</t>
        </is>
      </c>
      <c r="H1957" t="inlineStr">
        <is>
          <t>CÁRITAS DE MANAUS JÁ ATENDEU MAIS DE 3 MIL VENEZUELANOS QUE CRUZARAM A FRONTEIRA</t>
        </is>
      </c>
      <c r="I1957" t="inlineStr">
        <is>
          <t>INSTITUIÇÃO TEM BUSCADO ASSEGURAR APOIO SOCIAL E JURÍDICO PARA VENEZUELANOS QUE SOFRERAM DISCRIMINAÇÃO, EXPLORAÇÃO, ASSÉDIO MORAL E ATÉ SEXUAL DEVIDO CRISE NO PAÍS VIZINHO</t>
        </is>
      </c>
      <c r="J1957">
        <f>HYPERLINK("https://www.acritica.com/manaus/caritas-de-manaus-ja-atendeu-mais-de-3-mil-venezuelanos-que-cruzaram-a-fronteira-1.199336", "URL")</f>
        <v/>
      </c>
      <c r="K1957">
        <f>HYPERLINK("https://raw.githubusercontent.com/marcosmapl/dataset_imigrantes/main/noticias_filtered/a_critica/venezuelanos/2018/08_set/html/1.199336_795.html", "HTML")</f>
        <v/>
      </c>
      <c r="L1957">
        <f>HYPERLINK("https://raw.githubusercontent.com/marcosmapl/dataset_imigrantes/main/noticias_filtered/a_critica/venezuelanos/2018/08_set/txt/1.199336_795.txt", "TXT")</f>
        <v/>
      </c>
    </row>
    <row r="1958">
      <c r="A1958" s="1" t="n">
        <v>1956</v>
      </c>
      <c r="B1958" t="n">
        <v>2018</v>
      </c>
      <c r="C1958" s="2" t="n">
        <v>43350.06300296296</v>
      </c>
      <c r="D1958" t="inlineStr">
        <is>
          <t>G1</t>
        </is>
      </c>
      <c r="E1958" t="inlineStr">
        <is>
          <t>VENEZUELANOS</t>
        </is>
      </c>
      <c r="F1958" t="inlineStr">
        <is>
          <t>RORAIMA</t>
        </is>
      </c>
      <c r="G1958" t="inlineStr">
        <is>
          <t>MARCELO MARQUES E VALÉRIA OLIVEIRA*, G1 RR — BOA VISTA</t>
        </is>
      </c>
      <c r="H1958" t="inlineStr">
        <is>
          <t>BRASILEIRO E VENEZUELANO MORREM APÓS CONFUSÃO POR SUSPEITA DE FURTO A MERCADO EM BOA VISTA</t>
        </is>
      </c>
      <c r="I1958" t="inlineStr">
        <is>
          <t>POLÍCIA MILITAR INFORMOU EM RELATÓRIO QUE CONFUSÃO FOI CAUSADA APÓS UM BRASILEIRO TENTAR EVITAR FURTO A UM MERCADO. VENEZUELANO FOI PERSEGUIDO E AO SER ALCANÇADO POR BRASILEIRO O GOLPEOU NO PESCOÇO COM UMA FACA; ELE TENTOU FUGIR, MAS FOI LINCHADO POR UM GRUPO DE BRASILEIROS, RELATOU A POLÍCIA.</t>
        </is>
      </c>
      <c r="J1958">
        <f>HYPERLINK("https://g1.globo.com/rr/roraima/noticia/2018/09/06/brasileiro-e-venezuelano-morrem-apos-confusao-em-boa-vista.ghtml", "URL")</f>
        <v/>
      </c>
      <c r="K1958">
        <f>HYPERLINK("https://raw.githubusercontent.com/marcosmapl/dataset_imigrantes/main/noticias_filtered/g1/venezuelanos/2018/08_set/html/g1_1487f550-2307-11ed-b24f-6dbe51e79fca_2296.html", "HTML")</f>
        <v/>
      </c>
      <c r="L1958">
        <f>HYPERLINK("https://raw.githubusercontent.com/marcosmapl/dataset_imigrantes/main/noticias_filtered/g1/venezuelanos/2018/08_set/txt/g1_1487f550-2307-11ed-b24f-6dbe51e79fca_2296.txt", "TXT")</f>
        <v/>
      </c>
    </row>
    <row r="1959">
      <c r="A1959" s="1" t="n">
        <v>1957</v>
      </c>
      <c r="B1959" t="n">
        <v>2018</v>
      </c>
      <c r="C1959" s="2" t="n">
        <v>43349.54562395834</v>
      </c>
      <c r="D1959" t="inlineStr">
        <is>
          <t>G1</t>
        </is>
      </c>
      <c r="E1959" t="inlineStr">
        <is>
          <t>VENEZUELANOS</t>
        </is>
      </c>
      <c r="F1959" t="inlineStr">
        <is>
          <t>RIO GRANDE DO SUL</t>
        </is>
      </c>
      <c r="G1959" t="inlineStr">
        <is>
          <t>RBS TV</t>
        </is>
      </c>
      <c r="H1959" t="inlineStr">
        <is>
          <t>'NÃO HÁ PALAVRAS PARA EXPRESSAR O RECEBIMENTO DOS IRMÃOS BRASILEIROS', DIZ VENEZUELANO APÓS CHEGAR A ESTEIO</t>
        </is>
      </c>
      <c r="I1959" t="inlineStr">
        <is>
          <t>PRIMEIRO GRUPO DE IMIGRANTES ENCAMINHADO PELO GOVERNO FEDERAL CHEGOU AO MUNICÍPIO GAÚCHO NA NOITE DE QUARTA (5). ESTADO RECEBERÁ MAIS DE 600 ESTRANGEIROS.</t>
        </is>
      </c>
      <c r="J1959">
        <f>HYPERLINK("https://g1.globo.com/rs/rio-grande-do-sul/noticia/2018/09/06/nao-ha-palavras-para-expressar-o-recebimento-dos-irmaos-brasileiros-diz-venezuelano-apos-chegar-a-esteio.ghtml", "URL")</f>
        <v/>
      </c>
      <c r="K1959">
        <f>HYPERLINK("https://raw.githubusercontent.com/marcosmapl/dataset_imigrantes/main/noticias_filtered/g1/venezuelanos/2018/08_set/html/g1_f97af7d0-2306-11ed-b24f-6dbe51e79fca_2289.html", "HTML")</f>
        <v/>
      </c>
      <c r="L1959">
        <f>HYPERLINK("https://raw.githubusercontent.com/marcosmapl/dataset_imigrantes/main/noticias_filtered/g1/venezuelanos/2018/08_set/txt/g1_f97af7d0-2306-11ed-b24f-6dbe51e79fca_2289.txt", "TXT")</f>
        <v/>
      </c>
    </row>
    <row r="1960">
      <c r="A1960" s="1" t="n">
        <v>1958</v>
      </c>
      <c r="B1960" t="n">
        <v>2018</v>
      </c>
      <c r="C1960" s="2" t="n">
        <v>43349.42804398148</v>
      </c>
      <c r="D1960" t="inlineStr">
        <is>
          <t>A CRITICA</t>
        </is>
      </c>
      <c r="E1960" t="inlineStr">
        <is>
          <t>VENEZUELANOS</t>
        </is>
      </c>
      <c r="F1960" t="inlineStr"/>
      <c r="G1960" t="inlineStr"/>
      <c r="H1960" t="inlineStr">
        <is>
          <t>ENERGIA VAI SUBIR ALÉM DO PREVISTO</t>
        </is>
      </c>
      <c r="I1960" t="inlineStr"/>
      <c r="J1960">
        <f>HYPERLINK("https://www.acritica.com/energia-vai-subir-alem-do-previsto-1.228859", "URL")</f>
        <v/>
      </c>
      <c r="K1960">
        <f>HYPERLINK("https://raw.githubusercontent.com/marcosmapl/dataset_imigrantes/main/noticias_filtered/a_critica/venezuelanos/2018/08_set/html/1.228859_464.html", "HTML")</f>
        <v/>
      </c>
      <c r="L1960">
        <f>HYPERLINK("https://raw.githubusercontent.com/marcosmapl/dataset_imigrantes/main/noticias_filtered/a_critica/venezuelanos/2018/08_set/txt/1.228859_464.txt", "TXT")</f>
        <v/>
      </c>
    </row>
    <row r="1961">
      <c r="A1961" s="1" t="n">
        <v>1959</v>
      </c>
      <c r="B1961" t="n">
        <v>2018</v>
      </c>
      <c r="C1961" s="2" t="n">
        <v>43348.62746793981</v>
      </c>
      <c r="D1961" t="inlineStr">
        <is>
          <t>G1</t>
        </is>
      </c>
      <c r="E1961" t="inlineStr">
        <is>
          <t>VENEZUELANOS</t>
        </is>
      </c>
      <c r="F1961" t="inlineStr">
        <is>
          <t>RORAIMA</t>
        </is>
      </c>
      <c r="G1961" t="inlineStr">
        <is>
          <t>ALAN CHAVES*, G1 RR — BOA VISTA</t>
        </is>
      </c>
      <c r="H1961" t="inlineStr">
        <is>
          <t>VENEZUELANA GRÁVIDA É LEVADA DE RR PARA REENCONTRAR MARIDO EM SP: 'MUITO FELIZ'</t>
        </is>
      </c>
      <c r="I1961" t="inlineStr">
        <is>
          <t>ANAELIS RODULFO, 22, SERIA LEVADA NA SEMANA PASSADA COM O MARIDO, MAS TEVE DE FICAR NA CAPITAL POR NÃO TER FEITO PRÉ-NATAL. NESTA QUARTA (5), APÓS FAZER EXAMES, ELA EMBARCOU COM DESTINO A SÃO PAULO JUNTO COM OUTROS 203 REFUGIADOS.</t>
        </is>
      </c>
      <c r="J1961">
        <f>HYPERLINK("https://g1.globo.com/rr/roraima/noticia/2018/09/05/venezuelana-gravida-e-levada-de-rr-para-reencontrar-marido-em-sp-muito-feliz.ghtml", "URL")</f>
        <v/>
      </c>
      <c r="K1961">
        <f>HYPERLINK("https://raw.githubusercontent.com/marcosmapl/dataset_imigrantes/main/noticias_filtered/g1/venezuelanos/2018/08_set/html/g1_1798a0e0-231c-11ed-b24f-6dbe51e79fca_3428.html", "HTML")</f>
        <v/>
      </c>
      <c r="L1961">
        <f>HYPERLINK("https://raw.githubusercontent.com/marcosmapl/dataset_imigrantes/main/noticias_filtered/g1/venezuelanos/2018/08_set/txt/g1_1798a0e0-231c-11ed-b24f-6dbe51e79fca_3428.txt", "TXT")</f>
        <v/>
      </c>
    </row>
    <row r="1962">
      <c r="A1962" s="1" t="n">
        <v>1960</v>
      </c>
      <c r="B1962" t="n">
        <v>2018</v>
      </c>
      <c r="C1962" s="2" t="n">
        <v>43348.53174768519</v>
      </c>
      <c r="D1962" t="inlineStr">
        <is>
          <t>A CRITICA</t>
        </is>
      </c>
      <c r="E1962" t="inlineStr">
        <is>
          <t>VENEZUELANOS</t>
        </is>
      </c>
      <c r="F1962" t="inlineStr"/>
      <c r="G1962" t="inlineStr">
        <is>
          <t>AFP</t>
        </is>
      </c>
      <c r="H1962" t="inlineStr">
        <is>
          <t>AMÉRICA LATINA PEDE A MADURO QUE ACEITE AJUDA HUMANITÁRIA PARA CONTER ÊXODO</t>
        </is>
      </c>
      <c r="I1962" t="inlineStr">
        <is>
          <t>APESAR DA INSISTÊNCIA DE CARACAS EM NEGAR AS DIMENSÕES DO FENÔMENO, OS DELEGADOS DE ONZE GOVERNOS REUNIDOS EM QUITO ASSINARAM UMA DECLARAÇÃO QUE PEDE QUE MADURO RECEBA A COOPERAÇÃO.</t>
        </is>
      </c>
      <c r="J1962">
        <f>HYPERLINK("https://www.acritica.com/america-latina-pede-a-maduro-que-aceite-ajuda-humanitaria-para-conter-exodo-1.197311", "URL")</f>
        <v/>
      </c>
      <c r="K1962">
        <f>HYPERLINK("https://raw.githubusercontent.com/marcosmapl/dataset_imigrantes/main/noticias_filtered/a_critica/venezuelanos/2018/08_set/html/1.197311_279.html", "HTML")</f>
        <v/>
      </c>
      <c r="L1962">
        <f>HYPERLINK("https://raw.githubusercontent.com/marcosmapl/dataset_imigrantes/main/noticias_filtered/a_critica/venezuelanos/2018/08_set/txt/1.197311_279.txt", "TXT")</f>
        <v/>
      </c>
    </row>
    <row r="1963">
      <c r="A1963" s="1" t="n">
        <v>1961</v>
      </c>
      <c r="B1963" t="n">
        <v>2018</v>
      </c>
      <c r="C1963" s="2" t="n">
        <v>43348.04521148148</v>
      </c>
      <c r="D1963" t="inlineStr">
        <is>
          <t>G1</t>
        </is>
      </c>
      <c r="E1963" t="inlineStr">
        <is>
          <t>HAITIANOS</t>
        </is>
      </c>
      <c r="F1963" t="inlineStr">
        <is>
          <t>RIO GRANDE DO SUL</t>
        </is>
      </c>
      <c r="G1963" t="inlineStr">
        <is>
          <t>GUACIRA MERLIN, RBS TV</t>
        </is>
      </c>
      <c r="H1963" t="inlineStr">
        <is>
          <t>HAITIANOS BUSCAM SOLUÇÕES APÓS PERDEREM MORADIA EM REINTEGRAÇÃO DE POSSE, EM PORTO ALEGRE</t>
        </is>
      </c>
      <c r="I1963" t="inlineStr">
        <is>
          <t>OCUPAÇÃO PROGRESSO FOI DESOCUPADA NA MANHÃ DESTA TERÇA-FEIRA (3), E QUASE 100 FAMÍLIAS FORAM REMOVIDAS. HAITIANOS AFIRMAM TER COMPRADO IMÓVEIS NO LOCAL, SEM SABER QUE ERA IRREGULAR.</t>
        </is>
      </c>
      <c r="J1963">
        <f>HYPERLINK("https://g1.globo.com/rs/rio-grande-do-sul/noticia/2018/09/04/haitianos-buscam-solucoes-apos-perderem-moradia-em-reintegracao-de-posse-em-porto-alegre.ghtml", "URL")</f>
        <v/>
      </c>
      <c r="K1963">
        <f>HYPERLINK("https://raw.githubusercontent.com/marcosmapl/dataset_imigrantes/main/noticias_filtered/g1/haitianos/2018/08_set/html/g1_e96d8940-22fa-11ed-b24f-6dbe51e79fca_2250.html", "HTML")</f>
        <v/>
      </c>
      <c r="L1963">
        <f>HYPERLINK("https://raw.githubusercontent.com/marcosmapl/dataset_imigrantes/main/noticias_filtered/g1/haitianos/2018/08_set/txt/g1_e96d8940-22fa-11ed-b24f-6dbe51e79fca_2250.txt", "TXT")</f>
        <v/>
      </c>
    </row>
    <row r="1964">
      <c r="A1964" s="1" t="n">
        <v>1962</v>
      </c>
      <c r="B1964" t="n">
        <v>2018</v>
      </c>
      <c r="C1964" s="2" t="n">
        <v>43347.84439814815</v>
      </c>
      <c r="D1964" t="inlineStr">
        <is>
          <t>A CRITICA</t>
        </is>
      </c>
      <c r="E1964" t="inlineStr">
        <is>
          <t>VENEZUELANOS</t>
        </is>
      </c>
      <c r="F1964" t="inlineStr">
        <is>
          <t>MANAUS</t>
        </is>
      </c>
      <c r="G1964" t="inlineStr">
        <is>
          <t>IZABEL GUEDES</t>
        </is>
      </c>
      <c r="H1964" t="inlineStr">
        <is>
          <t>VENEZUELANOS VINDOS DE RORAIMA DEVEM FICAR TRÊS MESES EM ABRIGO DE MANAUS</t>
        </is>
      </c>
      <c r="I1964" t="inlineStr">
        <is>
          <t>NO ABRIGO, O GRUPO DE 180 IMIGRANTES RECEBERÁ ASSISTÊNCIA SOCIAL, AULAS DE PORTUGUÊS E CURSOS PROFISSIONALIZANTES</t>
        </is>
      </c>
      <c r="J1964">
        <f>HYPERLINK("https://www.acritica.com/manaus/venezuelanos-vindos-de-roraima-devem-ficar-tres-meses-em-abrigo-de-manaus-1.197346", "URL")</f>
        <v/>
      </c>
      <c r="K1964">
        <f>HYPERLINK("https://raw.githubusercontent.com/marcosmapl/dataset_imigrantes/main/noticias_filtered/a_critica/venezuelanos/2018/08_set/html/1.197346_278.html", "HTML")</f>
        <v/>
      </c>
      <c r="L1964">
        <f>HYPERLINK("https://raw.githubusercontent.com/marcosmapl/dataset_imigrantes/main/noticias_filtered/a_critica/venezuelanos/2018/08_set/txt/1.197346_278.txt", "TXT")</f>
        <v/>
      </c>
    </row>
    <row r="1965">
      <c r="A1965" s="1" t="n">
        <v>1963</v>
      </c>
      <c r="B1965" t="n">
        <v>2018</v>
      </c>
      <c r="C1965" s="2" t="n">
        <v>43347.64033564815</v>
      </c>
      <c r="D1965" t="inlineStr">
        <is>
          <t>A CRITICA</t>
        </is>
      </c>
      <c r="E1965" t="inlineStr">
        <is>
          <t>VENEZUELANOS</t>
        </is>
      </c>
      <c r="F1965" t="inlineStr"/>
      <c r="G1965" t="inlineStr">
        <is>
          <t>MARIETA CAZARRÉ (AGÊNCIA BRASIL)</t>
        </is>
      </c>
      <c r="H1965" t="inlineStr">
        <is>
          <t>VENEZUELANOS MORREM DE FRIO AO TENTAR CRUZAR CORDILHEIRA NA COLÔMBIA</t>
        </is>
      </c>
      <c r="I1965" t="inlineStr">
        <is>
          <t>FUGINDO DA CRISE NO PAÍS DE ORIGEM, OS IMIGRANTES ENFRENTAM NO LOCAL TEMPERATURAS MUITO BAIXAS QUE PODEM CHEGAR AOS 15 GRAUS NEGATIVOS</t>
        </is>
      </c>
      <c r="J1965">
        <f>HYPERLINK("https://www.acritica.com/venezuelanos-morrem-de-frio-ao-tentar-cruzar-cordilheira-na-colombia-1.197128", "URL")</f>
        <v/>
      </c>
      <c r="K1965">
        <f>HYPERLINK("https://raw.githubusercontent.com/marcosmapl/dataset_imigrantes/main/noticias_filtered/a_critica/venezuelanos/2018/08_set/html/1.197128_478.html", "HTML")</f>
        <v/>
      </c>
      <c r="L1965">
        <f>HYPERLINK("https://raw.githubusercontent.com/marcosmapl/dataset_imigrantes/main/noticias_filtered/a_critica/venezuelanos/2018/08_set/txt/1.197128_478.txt", "TXT")</f>
        <v/>
      </c>
    </row>
    <row r="1966">
      <c r="A1966" s="1" t="n">
        <v>1964</v>
      </c>
      <c r="B1966" t="n">
        <v>2018</v>
      </c>
      <c r="C1966" s="2" t="n">
        <v>43347.49027777778</v>
      </c>
      <c r="D1966" t="inlineStr">
        <is>
          <t>PORTAL AMAZONIA</t>
        </is>
      </c>
      <c r="E1966" t="inlineStr">
        <is>
          <t>VENEZUELANOS</t>
        </is>
      </c>
      <c r="F1966" t="inlineStr">
        <is>
          <t>CIDADES</t>
        </is>
      </c>
      <c r="G1966" t="inlineStr">
        <is>
          <t>REDAÇÃO</t>
        </is>
      </c>
      <c r="H1966" t="inlineStr">
        <is>
          <t>NESTA TERÇA-FEIRA 180 IMIGRANTES VENEZUELANOS CHEGAM A MANAUS</t>
        </is>
      </c>
      <c r="I1966" t="inlineStr">
        <is>
          <t>ATENDENDO AO PROCESSO DE INTERIORIZAÇÃO DO GOVERNO FEDERAL, MANAUS RECEBERÁ NESTA TERÇA-FEIRA (4) MAIS 180 IMIGRANTES VENEZUELANOS VINDOS DE BOA VISTA (RR). ESSA É A TERCEIRA LEVA DE IMIGRANTES QUE CHEGA À CAPITAL DO AMAZONAS E A INICIATIVA BUSCA AJU</t>
        </is>
      </c>
      <c r="J1966">
        <f>HYPERLINK("https://portalamazonia.com/noticias/cidades/nesta-terca-feira-180-imigrantes-venezuelanos-chegam-a-manaus", "URL")</f>
        <v/>
      </c>
      <c r="K1966">
        <f>HYPERLINK("https://raw.githubusercontent.com/marcosmapl/dataset_imigrantes/main/noticias_filtered/portal_amazonia/venezuelanos/2018/08_set/html/15606.15606_1463.html", "HTML")</f>
        <v/>
      </c>
      <c r="L1966">
        <f>HYPERLINK("https://raw.githubusercontent.com/marcosmapl/dataset_imigrantes/main/noticias_filtered/portal_amazonia/venezuelanos/2018/08_set/txt/15606.15606_1463.txt", "TXT")</f>
        <v/>
      </c>
    </row>
    <row r="1967">
      <c r="A1967" s="1" t="n">
        <v>1965</v>
      </c>
      <c r="B1967" t="n">
        <v>2018</v>
      </c>
      <c r="C1967" s="2" t="n">
        <v>43347.43877707176</v>
      </c>
      <c r="D1967" t="inlineStr">
        <is>
          <t>G1</t>
        </is>
      </c>
      <c r="E1967" t="inlineStr">
        <is>
          <t>HAITIANOS</t>
        </is>
      </c>
      <c r="F1967" t="inlineStr">
        <is>
          <t>RIO GRANDE DO SUL</t>
        </is>
      </c>
      <c r="G1967" t="inlineStr">
        <is>
          <t>G1 RS E RBS TV</t>
        </is>
      </c>
      <c r="H1967" t="inlineStr">
        <is>
          <t>AÇÃO DE REINTEGRAÇÃO DE POSSE RETIRA BRASILEIROS E HAITIANOS DE TERRENO NA ZONA NORTE DE PORTO ALEGRE</t>
        </is>
      </c>
      <c r="I1967" t="inlineStr">
        <is>
          <t>MAIS DE 100 FAMÍLIAS VIVIAM NO LOCAL HÁ QUATRO ANOS. MORADORES RELATAM QUE TENTAVAM NEGOCIAR COM OS PROPRIETÁRIOS DO TERRENO.</t>
        </is>
      </c>
      <c r="J1967">
        <f>HYPERLINK("https://g1.globo.com/rs/rio-grande-do-sul/noticia/2018/09/04/acao-de-reintegracao-de-posse-retira-brasileiros-e-haitianos-de-terreno-na-zona-norte-de-porto-alegre.ghtml", "URL")</f>
        <v/>
      </c>
      <c r="K1967">
        <f>HYPERLINK("https://raw.githubusercontent.com/marcosmapl/dataset_imigrantes/main/noticias_filtered/g1/haitianos/2018/08_set/html/g1_e0fef88c-22f7-11ed-b24f-6dbe51e79fca_2101.html", "HTML")</f>
        <v/>
      </c>
      <c r="L1967">
        <f>HYPERLINK("https://raw.githubusercontent.com/marcosmapl/dataset_imigrantes/main/noticias_filtered/g1/haitianos/2018/08_set/txt/g1_e0fef88c-22f7-11ed-b24f-6dbe51e79fca_2101.txt", "TXT")</f>
        <v/>
      </c>
    </row>
    <row r="1968">
      <c r="A1968" s="1" t="n">
        <v>1966</v>
      </c>
      <c r="B1968" t="n">
        <v>2018</v>
      </c>
      <c r="C1968" s="2" t="n">
        <v>43346.97268892361</v>
      </c>
      <c r="D1968" t="inlineStr">
        <is>
          <t>G1</t>
        </is>
      </c>
      <c r="E1968" t="inlineStr">
        <is>
          <t>VENEZUELANOS</t>
        </is>
      </c>
      <c r="F1968" t="inlineStr">
        <is>
          <t>RORAIMA</t>
        </is>
      </c>
      <c r="G1968" t="inlineStr">
        <is>
          <t>MARCELO MARQUES, G1 RR</t>
        </is>
      </c>
      <c r="H1968" t="inlineStr">
        <is>
          <t>EX-DETENTO É PRESO SUSPEITO DE ROUBAR CELULAR DE VENEZUELANO EM BOA VISTA</t>
        </is>
      </c>
      <c r="I1968" t="inlineStr">
        <is>
          <t>SUSPEITO FOI PRESO APÓS SER RECONHECIDO PELA VÍTIMA. ROUBO DO CELULAR FOI HÁ UM MÊS.</t>
        </is>
      </c>
      <c r="J1968">
        <f>HYPERLINK("https://g1.globo.com/rr/roraima/noticia/2018/09/03/ex-detento-e-preso-suspeito-de-roubar-celular-de-venezuelano-em-boa-vista.ghtml", "URL")</f>
        <v/>
      </c>
      <c r="K1968">
        <f>HYPERLINK("https://raw.githubusercontent.com/marcosmapl/dataset_imigrantes/main/noticias_filtered/g1/venezuelanos/2018/08_set/html/g1_a4d55bf0-2309-11ed-b24f-6dbe51e79fca_2455.html", "HTML")</f>
        <v/>
      </c>
      <c r="L1968">
        <f>HYPERLINK("https://raw.githubusercontent.com/marcosmapl/dataset_imigrantes/main/noticias_filtered/g1/venezuelanos/2018/08_set/txt/g1_a4d55bf0-2309-11ed-b24f-6dbe51e79fca_2455.txt", "TXT")</f>
        <v/>
      </c>
    </row>
    <row r="1969">
      <c r="A1969" s="1" t="n">
        <v>1967</v>
      </c>
      <c r="B1969" t="n">
        <v>2018</v>
      </c>
      <c r="C1969" s="2" t="n">
        <v>43346.93351351852</v>
      </c>
      <c r="D1969" t="inlineStr">
        <is>
          <t>G1</t>
        </is>
      </c>
      <c r="E1969" t="inlineStr">
        <is>
          <t>VENEZUELANOS</t>
        </is>
      </c>
      <c r="F1969" t="inlineStr">
        <is>
          <t>MUNDO</t>
        </is>
      </c>
      <c r="G1969" t="inlineStr">
        <is>
          <t>ERIC SAMSON, RFI — QUITO</t>
        </is>
      </c>
      <c r="H1969" t="inlineStr">
        <is>
          <t>PAÍSES DA AMÉRICA LATINA SE REÚNEM E DISCUTEM SOLUÇÕES PARA MIGRAÇÃO VENEZUELANA</t>
        </is>
      </c>
      <c r="I1969" t="inlineStr">
        <is>
          <t>TREZE PAÍSES DA AMÉRICA DO SUL, DA AMÉRICA CENTRAL E DO CARIBE CONFIRMARAM PRESENÇA PARA REUNIÃO EM QUITO, INCLUSIVE O BRASIL. ENTRE PROPOSTAS A SEREM DISCUTIDAS ESTÁ A CRIAÇÃO DE UM FUNDO E A UNIFICAÇÃO DE MEDIDAS EM RELAÇÃO AO VENEZUELANOS.</t>
        </is>
      </c>
      <c r="J1969">
        <f>HYPERLINK("https://g1.globo.com/mundo/noticia/2018/09/03/paises-da-america-latina-se-reunem-e-discutem-solucoes-para-migracao-venezuelana.ghtml", "URL")</f>
        <v/>
      </c>
      <c r="K1969">
        <f>HYPERLINK("https://raw.githubusercontent.com/marcosmapl/dataset_imigrantes/main/noticias_filtered/g1/venezuelanos/2018/08_set/html/g1_12fc2610-2308-11ed-b24f-6dbe51e79fca_2363.html", "HTML")</f>
        <v/>
      </c>
      <c r="L1969">
        <f>HYPERLINK("https://raw.githubusercontent.com/marcosmapl/dataset_imigrantes/main/noticias_filtered/g1/venezuelanos/2018/08_set/txt/g1_12fc2610-2308-11ed-b24f-6dbe51e79fca_2363.txt", "TXT")</f>
        <v/>
      </c>
    </row>
    <row r="1970">
      <c r="A1970" s="1" t="n">
        <v>1968</v>
      </c>
      <c r="B1970" t="n">
        <v>2018</v>
      </c>
      <c r="C1970" s="2" t="n">
        <v>43346.86127314815</v>
      </c>
      <c r="D1970" t="inlineStr">
        <is>
          <t>A CRITICA</t>
        </is>
      </c>
      <c r="E1970" t="inlineStr">
        <is>
          <t>VENEZUELANOS</t>
        </is>
      </c>
      <c r="F1970" t="inlineStr">
        <is>
          <t>MANAUS</t>
        </is>
      </c>
      <c r="G1970" t="inlineStr">
        <is>
          <t>ACRÍTICA.COM</t>
        </is>
      </c>
      <c r="H1970" t="inlineStr">
        <is>
          <t>MANAUS RECEBE MAIS 180 VENEZUELANOS VINDOS DE RORAIMA NESTA TERÇA-FEIRA</t>
        </is>
      </c>
      <c r="I1970" t="inlineStr">
        <is>
          <t>ESSA É A TERCEIRA LEVA DE IMIGRANTES QUE CHEGA À CAPITAL DO AMAZONAS COMO PARTE DO PROCESSO DE INTERIORIZAÇÃO PROPOSTO PELO GOVERNO FEDERAL EM MEIO À CRISE EM RORAIMA</t>
        </is>
      </c>
      <c r="J1970">
        <f>HYPERLINK("https://www.acritica.com/manaus/manaus-recebe-mais-180-venezuelanos-vindos-de-roraima-nesta-terca-feira-1.197168", "URL")</f>
        <v/>
      </c>
      <c r="K1970">
        <f>HYPERLINK("https://raw.githubusercontent.com/marcosmapl/dataset_imigrantes/main/noticias_filtered/a_critica/venezuelanos/2018/08_set/html/1.197168_498.html", "HTML")</f>
        <v/>
      </c>
      <c r="L1970">
        <f>HYPERLINK("https://raw.githubusercontent.com/marcosmapl/dataset_imigrantes/main/noticias_filtered/a_critica/venezuelanos/2018/08_set/txt/1.197168_498.txt", "TXT")</f>
        <v/>
      </c>
    </row>
    <row r="1971">
      <c r="A1971" s="1" t="n">
        <v>1969</v>
      </c>
      <c r="B1971" t="n">
        <v>2018</v>
      </c>
      <c r="C1971" s="2" t="n">
        <v>43345.89263766204</v>
      </c>
      <c r="D1971" t="inlineStr">
        <is>
          <t>G1</t>
        </is>
      </c>
      <c r="E1971" t="inlineStr">
        <is>
          <t>VENEZUELANOS</t>
        </is>
      </c>
      <c r="F1971" t="inlineStr">
        <is>
          <t>RORAIMA</t>
        </is>
      </c>
      <c r="G1971" t="inlineStr">
        <is>
          <t>EMILY COSTA, G1 RR — BOA VISTA</t>
        </is>
      </c>
      <c r="H1971" t="inlineStr">
        <is>
          <t>BRASILEIRO FURTA BICICLETA EM BOA VISTA, ACUSA VENEZUELANO, MAS ACABA PRESO E CONFESSA CRIME NA DELEGACIA</t>
        </is>
      </c>
      <c r="I1971" t="inlineStr">
        <is>
          <t>FURTO ACONTECEU NA PORTA DE MERCADO NO BAIRRO ALVORADA, ZONA OESTE, NA MANHÃ DESTE DOMINGO (2). SUSPEITO FOI AMARRADO E AGREDIDO POR POPULARES ATÉ A CHEGADA DA PM.</t>
        </is>
      </c>
      <c r="J1971">
        <f>HYPERLINK("https://g1.globo.com/rr/roraima/noticia/2018/09/02/brasileiro-furta-bicicleta-em-boa-vista-acusa-venezuelano-mas-acaba-preso-e-confessa-crime-na-delegacia.ghtml", "URL")</f>
        <v/>
      </c>
      <c r="K1971">
        <f>HYPERLINK("https://raw.githubusercontent.com/marcosmapl/dataset_imigrantes/main/noticias_filtered/g1/venezuelanos/2018/08_set/html/g1_c2c3f862-232a-11ed-b24f-6dbe51e79fca_4201.html", "HTML")</f>
        <v/>
      </c>
      <c r="L1971">
        <f>HYPERLINK("https://raw.githubusercontent.com/marcosmapl/dataset_imigrantes/main/noticias_filtered/g1/venezuelanos/2018/08_set/txt/g1_c2c3f862-232a-11ed-b24f-6dbe51e79fca_4201.txt", "TXT")</f>
        <v/>
      </c>
    </row>
    <row r="1972">
      <c r="A1972" s="1" t="n">
        <v>1970</v>
      </c>
      <c r="B1972" t="n">
        <v>2018</v>
      </c>
      <c r="C1972" s="2" t="n">
        <v>43344.79375</v>
      </c>
      <c r="D1972" t="inlineStr">
        <is>
          <t>A CRITICA</t>
        </is>
      </c>
      <c r="E1972" t="inlineStr">
        <is>
          <t>VENEZUELANOS</t>
        </is>
      </c>
      <c r="F1972" t="inlineStr">
        <is>
          <t>ENTRETENIMENTO</t>
        </is>
      </c>
      <c r="G1972" t="inlineStr">
        <is>
          <t>PAULO ANDRÉ NUNES</t>
        </is>
      </c>
      <c r="H1972" t="inlineStr">
        <is>
          <t>LIVRO VAI MOSTRAR O DRAMA DOS VENEZUELANOS EM BOA VISTA E A SITUAÇÃO DE QUEM OS AJUDA</t>
        </is>
      </c>
      <c r="I1972" t="inlineStr">
        <is>
          <t>“OPERAÇÃO ACOLHIDA - A CRISE DOS REFUGIADOS VENEZUELANOS”, DA AUTORA MARIA LIMA, PRETENDE SER UM COMOVENTE RELATO DO TRABALHO HUMANITÁRIO DESENVOLVIDO PELOS MILITARES E ORGANIZAÇÕES DA SOCIEDADE CIVIL NA CAPITAL RORAIMENSE</t>
        </is>
      </c>
      <c r="J1972">
        <f>HYPERLINK("https://www.acritica.com/entretenimento/livro-vai-mostrar-o-drama-dos-venezuelanos-em-boa-vista-e-a-situac-o-de-quem-os-ajuda-1.197043", "URL")</f>
        <v/>
      </c>
      <c r="K1972">
        <f>HYPERLINK("https://raw.githubusercontent.com/marcosmapl/dataset_imigrantes/main/noticias_filtered/a_critica/venezuelanos/2018/08_set/html/1.197043_693.html", "HTML")</f>
        <v/>
      </c>
      <c r="L1972">
        <f>HYPERLINK("https://raw.githubusercontent.com/marcosmapl/dataset_imigrantes/main/noticias_filtered/a_critica/venezuelanos/2018/08_set/txt/1.197043_693.txt", "TXT")</f>
        <v/>
      </c>
    </row>
    <row r="1973">
      <c r="A1973" s="1" t="n">
        <v>1971</v>
      </c>
      <c r="B1973" t="n">
        <v>2018</v>
      </c>
      <c r="C1973" s="2" t="n">
        <v>43344.7762037963</v>
      </c>
      <c r="D1973" t="inlineStr">
        <is>
          <t>G1</t>
        </is>
      </c>
      <c r="E1973" t="inlineStr">
        <is>
          <t>VENEZUELANOS</t>
        </is>
      </c>
      <c r="F1973" t="inlineStr">
        <is>
          <t>RORAIMA</t>
        </is>
      </c>
      <c r="G1973" t="inlineStr">
        <is>
          <t>MARCELO MARQUES, G1 RR</t>
        </is>
      </c>
      <c r="H1973" t="inlineStr">
        <is>
          <t>VENEZUELANO MORADOR DE RUA É MORTO A TIROS E GOLPES DE FACÃO EM CIDADE NO INTERIOR DE RORAIMA</t>
        </is>
      </c>
      <c r="I1973" t="inlineStr">
        <is>
          <t>VÍTIMA AINDA NÃO FOI IDENTIFICADA. TESTEMUNHAS DISSERAM À PM QUE DOIS HOMENS FORAM VISTOS NO LOCAL DO CRIME; NINGUÉM FOI PRESO.</t>
        </is>
      </c>
      <c r="J1973">
        <f>HYPERLINK("https://g1.globo.com/rr/roraima/noticia/2018/09/01/venezuelano-morador-de-rua-e-morto-a-tiros-e-golpes-de-facao-em-cidade-no-interior-de-roraima.ghtml", "URL")</f>
        <v/>
      </c>
      <c r="K1973">
        <f>HYPERLINK("https://raw.githubusercontent.com/marcosmapl/dataset_imigrantes/main/noticias_filtered/g1/venezuelanos/2018/08_set/html/g1_d50b9784-231e-11ed-b24f-6dbe51e79fca_3587.html", "HTML")</f>
        <v/>
      </c>
      <c r="L1973">
        <f>HYPERLINK("https://raw.githubusercontent.com/marcosmapl/dataset_imigrantes/main/noticias_filtered/g1/venezuelanos/2018/08_set/txt/g1_d50b9784-231e-11ed-b24f-6dbe51e79fca_3587.txt", "TXT")</f>
        <v/>
      </c>
    </row>
    <row r="1974">
      <c r="A1974" s="1" t="n">
        <v>1972</v>
      </c>
      <c r="B1974" t="n">
        <v>2018</v>
      </c>
      <c r="C1974" s="2" t="n">
        <v>43343.49665509259</v>
      </c>
      <c r="D1974" t="inlineStr">
        <is>
          <t>A CRITICA</t>
        </is>
      </c>
      <c r="E1974" t="inlineStr">
        <is>
          <t>VENEZUELANOS</t>
        </is>
      </c>
      <c r="F1974" t="inlineStr">
        <is>
          <t>OPINIAO</t>
        </is>
      </c>
      <c r="G1974" t="inlineStr"/>
      <c r="H1974" t="inlineStr">
        <is>
          <t>DILEMA EM OCUPAÇÃO INDÍGENA NO ‘CEMITÉRIO DE ÍNDIOS’</t>
        </is>
      </c>
      <c r="I1974" t="inlineStr"/>
      <c r="J1974">
        <f>HYPERLINK("https://www.acritica.com/opiniao/dilema-em-ocupac-o-indigena-no-cemiterio-de-indios-1.228866", "URL")</f>
        <v/>
      </c>
      <c r="K1974">
        <f>HYPERLINK("https://raw.githubusercontent.com/marcosmapl/dataset_imigrantes/main/noticias_filtered/a_critica/venezuelanos/2018/07_ago/html/1.228866_135.html", "HTML")</f>
        <v/>
      </c>
      <c r="L1974">
        <f>HYPERLINK("https://raw.githubusercontent.com/marcosmapl/dataset_imigrantes/main/noticias_filtered/a_critica/venezuelanos/2018/07_ago/txt/1.228866_135.txt", "TXT")</f>
        <v/>
      </c>
    </row>
    <row r="1975">
      <c r="A1975" s="1" t="n">
        <v>1973</v>
      </c>
      <c r="B1975" t="n">
        <v>2018</v>
      </c>
      <c r="C1975" s="2" t="n">
        <v>43342.64914351852</v>
      </c>
      <c r="D1975" t="inlineStr">
        <is>
          <t>A CRITICA</t>
        </is>
      </c>
      <c r="E1975" t="inlineStr">
        <is>
          <t>VENEZUELANOS</t>
        </is>
      </c>
      <c r="F1975" t="inlineStr"/>
      <c r="G1975" t="inlineStr">
        <is>
          <t>AGÊNCIA BRASIL</t>
        </is>
      </c>
      <c r="H1975" t="inlineStr">
        <is>
          <t>PAÍSES PEDEM À VENEZUELA QUE FACILITE A SAÍDA DE QUEM QUER DEIXAR O PAÍS</t>
        </is>
      </c>
      <c r="I1975" t="inlineStr">
        <is>
          <t>BOLÍVIA, EQUADOR, COLÔMBIA E PERU APELARAM À VENEZUELA PARA QUE FACILITE A EMISSÃO DE DOCUMENTOS PARA OS CIDADÃOS QUE QUEIRAM DEIXAR O PAÍS</t>
        </is>
      </c>
      <c r="J1975">
        <f>HYPERLINK("https://www.acritica.com/paises-pedem-a-venezuela-que-facilite-a-saida-de-quem-quer-deixar-o-pais-1.196929", "URL")</f>
        <v/>
      </c>
      <c r="K1975">
        <f>HYPERLINK("https://raw.githubusercontent.com/marcosmapl/dataset_imigrantes/main/noticias_filtered/a_critica/venezuelanos/2018/07_ago/html/1.196929_1255.html", "HTML")</f>
        <v/>
      </c>
      <c r="L1975">
        <f>HYPERLINK("https://raw.githubusercontent.com/marcosmapl/dataset_imigrantes/main/noticias_filtered/a_critica/venezuelanos/2018/07_ago/txt/1.196929_1255.txt", "TXT")</f>
        <v/>
      </c>
    </row>
    <row r="1976">
      <c r="A1976" s="1" t="n">
        <v>1974</v>
      </c>
      <c r="B1976" t="n">
        <v>2018</v>
      </c>
      <c r="C1976" s="2" t="n">
        <v>43342.42978009259</v>
      </c>
      <c r="D1976" t="inlineStr">
        <is>
          <t>A CRITICA</t>
        </is>
      </c>
      <c r="E1976" t="inlineStr">
        <is>
          <t>VENEZUELANOS</t>
        </is>
      </c>
      <c r="F1976" t="inlineStr"/>
      <c r="G1976" t="inlineStr"/>
      <c r="H1976" t="inlineStr">
        <is>
          <t>NUNCA ANTES NA HISTÓRIA DO SENADO...</t>
        </is>
      </c>
      <c r="I1976" t="inlineStr"/>
      <c r="J1976">
        <f>HYPERLINK("https://www.acritica.com/nunca-antes-na-historia-do-senado-1.228874", "URL")</f>
        <v/>
      </c>
      <c r="K1976">
        <f>HYPERLINK("https://raw.githubusercontent.com/marcosmapl/dataset_imigrantes/main/noticias_filtered/a_critica/venezuelanos/2018/07_ago/html/1.228874_300.html", "HTML")</f>
        <v/>
      </c>
      <c r="L1976">
        <f>HYPERLINK("https://raw.githubusercontent.com/marcosmapl/dataset_imigrantes/main/noticias_filtered/a_critica/venezuelanos/2018/07_ago/txt/1.228874_300.txt", "TXT")</f>
        <v/>
      </c>
    </row>
    <row r="1977">
      <c r="A1977" s="1" t="n">
        <v>1975</v>
      </c>
      <c r="B1977" t="n">
        <v>2018</v>
      </c>
      <c r="C1977" s="2" t="n">
        <v>43342.06750847222</v>
      </c>
      <c r="D1977" t="inlineStr">
        <is>
          <t>G1</t>
        </is>
      </c>
      <c r="E1977" t="inlineStr">
        <is>
          <t>VENEZUELANOS</t>
        </is>
      </c>
      <c r="F1977" t="inlineStr">
        <is>
          <t>PARAÍBA</t>
        </is>
      </c>
      <c r="G1977" t="inlineStr">
        <is>
          <t>PLÍNIO ALMEIDA, TV CABO BRANCO</t>
        </is>
      </c>
      <c r="H1977" t="inlineStr">
        <is>
          <t>'ESTAMOS AQUI PARA MELHORAR NOSSAS VIDAS', DIZ VENEZUELANA EM JOÃO PESSOA</t>
        </is>
      </c>
      <c r="I1977" t="inlineStr">
        <is>
          <t>AO TODO, 69 VENEZUELANOS CHEGARAM A JOÃO PESSOA NA TERÇA-FEIRA (28), VINDOS DE RORAIMA.</t>
        </is>
      </c>
      <c r="J1977">
        <f>HYPERLINK("https://g1.globo.com/pb/paraiba/noticia/2018/08/29/estamos-aqui-para-melhorar-nossas-vidas-diz-venezuelana-em-joao-pessoa.ghtml", "URL")</f>
        <v/>
      </c>
      <c r="K1977">
        <f>HYPERLINK("https://raw.githubusercontent.com/marcosmapl/dataset_imigrantes/main/noticias_filtered/g1/venezuelanos/2018/07_ago/html/g1_330b1b7c-232c-11ed-b24f-6dbe51e79fca_4291.html", "HTML")</f>
        <v/>
      </c>
      <c r="L1977">
        <f>HYPERLINK("https://raw.githubusercontent.com/marcosmapl/dataset_imigrantes/main/noticias_filtered/g1/venezuelanos/2018/07_ago/txt/g1_330b1b7c-232c-11ed-b24f-6dbe51e79fca_4291.txt", "TXT")</f>
        <v/>
      </c>
    </row>
    <row r="1978">
      <c r="A1978" s="1" t="n">
        <v>1976</v>
      </c>
      <c r="B1978" t="n">
        <v>2018</v>
      </c>
      <c r="C1978" s="2" t="n">
        <v>43341.88637731481</v>
      </c>
      <c r="D1978" t="inlineStr">
        <is>
          <t>A CRITICA</t>
        </is>
      </c>
      <c r="E1978" t="inlineStr">
        <is>
          <t>VENEZUELANOS</t>
        </is>
      </c>
      <c r="F1978" t="inlineStr"/>
      <c r="G1978" t="inlineStr">
        <is>
          <t>AFP</t>
        </is>
      </c>
      <c r="H1978" t="inlineStr">
        <is>
          <t>OEA CONVOCA SESSÃO EXTRAORDINÁRIA SOBRE CRISE MIGRATÓRIA GERADA PELA VENEZUELA</t>
        </is>
      </c>
      <c r="I1978" t="inlineStr">
        <is>
          <t>A VENEZUELA, AFUNDADA EM UMA GRAVÍSSIMA CRISE ECONÔMICA COM HIPERINFLAÇÃO E ESCASSEZ DE TODOS OS TIPOS DE BENS E SERVIÇOS, VIU NOS ÚLTIMOS MESES UM ÊXODO MACIÇO DE SUA POPULAÇÃO</t>
        </is>
      </c>
      <c r="J1978">
        <f>HYPERLINK("https://www.acritica.com/oea-convoca-sess-o-extraordinaria-sobre-crise-migratoria-gerada-pela-venezuela-1.196714", "URL")</f>
        <v/>
      </c>
      <c r="K1978">
        <f>HYPERLINK("https://raw.githubusercontent.com/marcosmapl/dataset_imigrantes/main/noticias_filtered/a_critica/venezuelanos/2018/07_ago/html/1.196714_541.html", "HTML")</f>
        <v/>
      </c>
      <c r="L1978">
        <f>HYPERLINK("https://raw.githubusercontent.com/marcosmapl/dataset_imigrantes/main/noticias_filtered/a_critica/venezuelanos/2018/07_ago/txt/1.196714_541.txt", "TXT")</f>
        <v/>
      </c>
    </row>
    <row r="1979">
      <c r="A1979" s="1" t="n">
        <v>1977</v>
      </c>
      <c r="B1979" t="n">
        <v>2018</v>
      </c>
      <c r="C1979" s="2" t="n">
        <v>43341.87708333333</v>
      </c>
      <c r="D1979" t="inlineStr">
        <is>
          <t>PORTAL AMAZONIA</t>
        </is>
      </c>
      <c r="E1979" t="inlineStr">
        <is>
          <t>VENEZUELANOS</t>
        </is>
      </c>
      <c r="F1979" t="inlineStr">
        <is>
          <t>CIDADES</t>
        </is>
      </c>
      <c r="G1979" t="inlineStr">
        <is>
          <t>REDAÇÃO</t>
        </is>
      </c>
      <c r="H1979" t="inlineStr">
        <is>
          <t>GOVERNO DESCARTA USO DE SENHAS NA FRONTEIRA COM A VENEZUELA</t>
        </is>
      </c>
      <c r="I1979" t="inlineStr">
        <is>
          <t>A PRESIDÊNCIA DA REPÚBLICA INFORMOU NESTA QUARTA-FEIRA (29) QUE O GOVERNO NÃO PRETENDE LIMITAR O INGRESSO DE VENEZUELANOS, POR RORAIMA, A PARTIR DA DISTRIBUIÇÃO DE SENHAS. TAMBÉM NEGOU A POSSIBILIDADE DE FECHAMENTO DA FR</t>
        </is>
      </c>
      <c r="J1979">
        <f>HYPERLINK("https://portalamazonia.com/noticias/cidades/governo-descarta-uso-de-senhas-na-fronteira-com-a-venezuela", "URL")</f>
        <v/>
      </c>
      <c r="K1979">
        <f>HYPERLINK("https://raw.githubusercontent.com/marcosmapl/dataset_imigrantes/main/noticias_filtered/portal_amazonia/venezuelanos/2018/07_ago/html/15572.15572_1563.html", "HTML")</f>
        <v/>
      </c>
      <c r="L1979">
        <f>HYPERLINK("https://raw.githubusercontent.com/marcosmapl/dataset_imigrantes/main/noticias_filtered/portal_amazonia/venezuelanos/2018/07_ago/txt/15572.15572_1563.txt", "TXT")</f>
        <v/>
      </c>
    </row>
    <row r="1980">
      <c r="A1980" s="1" t="n">
        <v>1978</v>
      </c>
      <c r="B1980" t="n">
        <v>2018</v>
      </c>
      <c r="C1980" s="2" t="n">
        <v>43341.86458333334</v>
      </c>
      <c r="D1980" t="inlineStr">
        <is>
          <t>PORTAL AMAZONIA</t>
        </is>
      </c>
      <c r="E1980" t="inlineStr">
        <is>
          <t>VENEZUELANOS</t>
        </is>
      </c>
      <c r="F1980" t="inlineStr">
        <is>
          <t>CIDADES</t>
        </is>
      </c>
      <c r="G1980" t="inlineStr">
        <is>
          <t>REDAÇÃO</t>
        </is>
      </c>
      <c r="H1980" t="inlineStr">
        <is>
          <t>GOVERNO ESTUDA ADOTAR SENHAS PARA LIMITAR ENTRADA DE VENEZUELANOS</t>
        </is>
      </c>
      <c r="I1980" t="inlineStr">
        <is>
          <t>O GOVERNO BRASILEIRO PODERÁ ADOTAR O USO DE SENHAS PARA LIMITAR A ENTRADA DE IMIGRANTES VENEZUELANOS NO PAÍS. A INFORMAÇÃO FOI DADA PELO PRESIDENTE MICHEL TEMER NA MANHÃ DESTA QUARTA-FEIRA (29), EM EN</t>
        </is>
      </c>
      <c r="J1980">
        <f>HYPERLINK("https://portalamazonia.com/noticias/cidades/governo-estuda-adotar-senhas-para-limitar-entrada-de-venezuelanos", "URL")</f>
        <v/>
      </c>
      <c r="K1980">
        <f>HYPERLINK("https://raw.githubusercontent.com/marcosmapl/dataset_imigrantes/main/noticias_filtered/portal_amazonia/venezuelanos/2018/07_ago/html/15571.15571_1486.html", "HTML")</f>
        <v/>
      </c>
      <c r="L1980">
        <f>HYPERLINK("https://raw.githubusercontent.com/marcosmapl/dataset_imigrantes/main/noticias_filtered/portal_amazonia/venezuelanos/2018/07_ago/txt/15571.15571_1486.txt", "TXT")</f>
        <v/>
      </c>
    </row>
    <row r="1981">
      <c r="A1981" s="1" t="n">
        <v>1979</v>
      </c>
      <c r="B1981" t="n">
        <v>2018</v>
      </c>
      <c r="C1981" s="2" t="n">
        <v>43341.71716435185</v>
      </c>
      <c r="D1981" t="inlineStr">
        <is>
          <t>A CRITICA</t>
        </is>
      </c>
      <c r="E1981" t="inlineStr">
        <is>
          <t>VENEZUELANOS</t>
        </is>
      </c>
      <c r="F1981" t="inlineStr"/>
      <c r="G1981" t="inlineStr">
        <is>
          <t>PEDRO PEDUZZI (AGÊNCIA BRASIL)</t>
        </is>
      </c>
      <c r="H1981" t="inlineStr">
        <is>
          <t>GOVERNO COGITA LIMITAR A ENTRADA DE VENEZUELANOS NO BRASIL POR RORAIMA</t>
        </is>
      </c>
      <c r="I1981" t="inlineStr">
        <is>
          <t>HÁ A POSSIBILIDADE DE ADOTAR O USO DE SENHAS PARA ORGANIZAR A ENTRADA DOS IMIGRANTES NO PAÍS</t>
        </is>
      </c>
      <c r="J1981">
        <f>HYPERLINK("https://www.acritica.com/governo-cogita-limitar-a-entrada-de-venezuelanos-no-brasil-por-roraima-1.199427", "URL")</f>
        <v/>
      </c>
      <c r="K1981">
        <f>HYPERLINK("https://raw.githubusercontent.com/marcosmapl/dataset_imigrantes/main/noticias_filtered/a_critica/venezuelanos/2018/07_ago/html/1.199427_853.html", "HTML")</f>
        <v/>
      </c>
      <c r="L1981">
        <f>HYPERLINK("https://raw.githubusercontent.com/marcosmapl/dataset_imigrantes/main/noticias_filtered/a_critica/venezuelanos/2018/07_ago/txt/1.199427_853.txt", "TXT")</f>
        <v/>
      </c>
    </row>
    <row r="1982">
      <c r="A1982" s="1" t="n">
        <v>1980</v>
      </c>
      <c r="B1982" t="n">
        <v>2018</v>
      </c>
      <c r="C1982" s="2" t="n">
        <v>43341.58224537037</v>
      </c>
      <c r="D1982" t="inlineStr">
        <is>
          <t>A CRITICA</t>
        </is>
      </c>
      <c r="E1982" t="inlineStr">
        <is>
          <t>VENEZUELANOS</t>
        </is>
      </c>
      <c r="F1982" t="inlineStr"/>
      <c r="G1982" t="inlineStr">
        <is>
          <t>NIELMAR OLIVEIRA (AGÊNCIA BRASIL)</t>
        </is>
      </c>
      <c r="H1982" t="inlineStr">
        <is>
          <t>POPULAÇÃO BRASILEIRA PASSA DE 208,4 MILHÕES DE PESSOAS, MOSTRA IBGE</t>
        </is>
      </c>
      <c r="I1982" t="inlineStr">
        <is>
          <t>HOUVE CRESCIMENTO POPULACIONAL DE 0,82% DE 2017 PARA 2018. SÃO PAULO CONTINUA SENDO O MUNICÍPIO MAIS POPULOSO, COM 12,2 MILHÕES DE HABITANTES</t>
        </is>
      </c>
      <c r="J1982">
        <f>HYPERLINK("https://www.acritica.com/populac-o-brasileira-passa-de-208-4-milh-es-de-pessoas-mostra-ibge-1.199452", "URL")</f>
        <v/>
      </c>
      <c r="K1982">
        <f>HYPERLINK("https://raw.githubusercontent.com/marcosmapl/dataset_imigrantes/main/noticias_filtered/a_critica/venezuelanos/2018/07_ago/html/1.199452_251.html", "HTML")</f>
        <v/>
      </c>
      <c r="L1982">
        <f>HYPERLINK("https://raw.githubusercontent.com/marcosmapl/dataset_imigrantes/main/noticias_filtered/a_critica/venezuelanos/2018/07_ago/txt/1.199452_251.txt", "TXT")</f>
        <v/>
      </c>
    </row>
    <row r="1983">
      <c r="A1983" s="1" t="n">
        <v>1981</v>
      </c>
      <c r="B1983" t="n">
        <v>2018</v>
      </c>
      <c r="C1983" s="2" t="n">
        <v>43341.54217592593</v>
      </c>
      <c r="D1983" t="inlineStr">
        <is>
          <t>A CRITICA</t>
        </is>
      </c>
      <c r="E1983" t="inlineStr">
        <is>
          <t>VENEZUELANOS</t>
        </is>
      </c>
      <c r="F1983" t="inlineStr"/>
      <c r="G1983" t="inlineStr">
        <is>
          <t>MARCELO BRANDÃO (AGÊNCIA BRASIL)</t>
        </is>
      </c>
      <c r="H1983" t="inlineStr">
        <is>
          <t>GOVERNO AFASTA POSSIBILIDADE DE INTERVENÇÃO FEDERAL EM RORAIMA</t>
        </is>
      </c>
      <c r="I1983" t="inlineStr">
        <is>
          <t>“NÃO SE COGITOU INTERVENÇÃO. ATÉ PORQUE VAMOS TRATANDO COM OS REMÉDIOS QUE TEMOS, DE FORMA GRADUAL”, DISSE O MINISTRO DO GABINETE DE SEGURANÇA INSTITUCIONAL</t>
        </is>
      </c>
      <c r="J1983">
        <f>HYPERLINK("https://www.acritica.com/governo-afasta-possibilidade-de-intervenc-o-federal-em-roraima-1.199461", "URL")</f>
        <v/>
      </c>
      <c r="K1983">
        <f>HYPERLINK("https://raw.githubusercontent.com/marcosmapl/dataset_imigrantes/main/noticias_filtered/a_critica/venezuelanos/2018/07_ago/html/1.199461_58.html", "HTML")</f>
        <v/>
      </c>
      <c r="L1983">
        <f>HYPERLINK("https://raw.githubusercontent.com/marcosmapl/dataset_imigrantes/main/noticias_filtered/a_critica/venezuelanos/2018/07_ago/txt/1.199461_58.txt", "TXT")</f>
        <v/>
      </c>
    </row>
    <row r="1984">
      <c r="A1984" s="1" t="n">
        <v>1982</v>
      </c>
      <c r="B1984" t="n">
        <v>2018</v>
      </c>
      <c r="C1984" s="2" t="n">
        <v>43341.42483796296</v>
      </c>
      <c r="D1984" t="inlineStr">
        <is>
          <t>A CRITICA</t>
        </is>
      </c>
      <c r="E1984" t="inlineStr">
        <is>
          <t>AMBOS</t>
        </is>
      </c>
      <c r="F1984" t="inlineStr">
        <is>
          <t>OPINIAO</t>
        </is>
      </c>
      <c r="G1984" t="inlineStr"/>
      <c r="H1984" t="inlineStr">
        <is>
          <t>PRECISAMOS DE SOLIDARIEDADE REAL</t>
        </is>
      </c>
      <c r="I1984" t="inlineStr"/>
      <c r="J1984">
        <f>HYPERLINK("https://www.acritica.com/opiniao/precisamos-de-solidariedade-real-1.223847", "URL")</f>
        <v/>
      </c>
      <c r="K1984">
        <f>HYPERLINK("https://raw.githubusercontent.com/marcosmapl/dataset_imigrantes/main/noticias_filtered/a_critica/ambos/2018/07_ago/html/1.223847_513.html", "HTML")</f>
        <v/>
      </c>
      <c r="L1984">
        <f>HYPERLINK("https://raw.githubusercontent.com/marcosmapl/dataset_imigrantes/main/noticias_filtered/a_critica/ambos/2018/07_ago/txt/1.223847_513.txt", "TXT")</f>
        <v/>
      </c>
    </row>
    <row r="1985">
      <c r="A1985" s="1" t="n">
        <v>1983</v>
      </c>
      <c r="B1985" t="n">
        <v>2018</v>
      </c>
      <c r="C1985" s="2" t="n">
        <v>43341.41942226852</v>
      </c>
      <c r="D1985" t="inlineStr">
        <is>
          <t>G1</t>
        </is>
      </c>
      <c r="E1985" t="inlineStr">
        <is>
          <t>HAITIANOS</t>
        </is>
      </c>
      <c r="F1985" t="inlineStr">
        <is>
          <t>RIO GRANDE DO SUL</t>
        </is>
      </c>
      <c r="G1985" t="inlineStr">
        <is>
          <t>G1 RS</t>
        </is>
      </c>
      <c r="H1985" t="inlineStr">
        <is>
          <t>HOMENS QUE ABORDARAM HAITIANOS EM POSTO DE COMBUSTÍVEL EM CANOAS SÃO CONDENADOS POR DISCRIMINAÇÃO</t>
        </is>
      </c>
      <c r="I1985" t="inlineStr">
        <is>
          <t>HOMEM QUE ABORDOU ESTRANGEIRO FOI CONDENADO A SEIS ANOS DE RECLUSÃO EM REGIME SEMIABERTO, E O RESPONSÁVEL PELAS IMAGENS TEVE PENA REVERTIDA EM SERVIÇOS COMUNITÁRIOS. AINDA CABE RECURSO. O ADVOGADO DE DANIEL BARBOSA DE AMORIM DISSE QUE VAI RECORRER DA DECISÃO.</t>
        </is>
      </c>
      <c r="J1985">
        <f>HYPERLINK("https://g1.globo.com/rs/rio-grande-do-sul/noticia/2018/08/29/homens-que-abordaram-haitianos-em-posto-de-combustivel-em-canoas-sao-condenados-por-discriminacao.ghtml", "URL")</f>
        <v/>
      </c>
      <c r="K1985">
        <f>HYPERLINK("https://raw.githubusercontent.com/marcosmapl/dataset_imigrantes/main/noticias_filtered/g1/haitianos/2018/07_ago/html/g1_dbfe9ec8-22f2-11ed-b24f-6dbe51e79fca_1816.html", "HTML")</f>
        <v/>
      </c>
      <c r="L1985">
        <f>HYPERLINK("https://raw.githubusercontent.com/marcosmapl/dataset_imigrantes/main/noticias_filtered/g1/haitianos/2018/07_ago/txt/g1_dbfe9ec8-22f2-11ed-b24f-6dbe51e79fca_1816.txt", "TXT")</f>
        <v/>
      </c>
    </row>
    <row r="1986">
      <c r="A1986" s="1" t="n">
        <v>1984</v>
      </c>
      <c r="B1986" t="n">
        <v>2018</v>
      </c>
      <c r="C1986" s="2" t="n">
        <v>43340.94513888889</v>
      </c>
      <c r="D1986" t="inlineStr">
        <is>
          <t>A CRITICA</t>
        </is>
      </c>
      <c r="E1986" t="inlineStr">
        <is>
          <t>VENEZUELANOS</t>
        </is>
      </c>
      <c r="F1986" t="inlineStr"/>
      <c r="G1986" t="inlineStr">
        <is>
          <t>MARCELO BRANDÃO (AGÊNCIA BRASIL)</t>
        </is>
      </c>
      <c r="H1986" t="inlineStr">
        <is>
          <t>TEMER DECRETA USO DAS FORÇAS ARMADAS EM RORAIMA PARA GARANTIR SEGURANÇA</t>
        </is>
      </c>
      <c r="I1986" t="inlineStr">
        <is>
          <t>OBJETIVO É ASSEGURAR A ORDEM PARA BRASILEIROS QUE VIVEM NA REGIÃO E AOS VENEZUELANOS QUE ENTRAM NO PAÍS FUGINDO DA CRISE NO PAÍS VIZINHO</t>
        </is>
      </c>
      <c r="J1986">
        <f>HYPERLINK("https://www.acritica.com/temer-decreta-uso-das-forcas-armadas-em-roraima-para-garantir-seguranca-1.199492", "URL")</f>
        <v/>
      </c>
      <c r="K1986">
        <f>HYPERLINK("https://raw.githubusercontent.com/marcosmapl/dataset_imigrantes/main/noticias_filtered/a_critica/venezuelanos/2018/07_ago/html/1.199492_963.html", "HTML")</f>
        <v/>
      </c>
      <c r="L1986">
        <f>HYPERLINK("https://raw.githubusercontent.com/marcosmapl/dataset_imigrantes/main/noticias_filtered/a_critica/venezuelanos/2018/07_ago/txt/1.199492_963.txt", "TXT")</f>
        <v/>
      </c>
    </row>
    <row r="1987">
      <c r="A1987" s="1" t="n">
        <v>1985</v>
      </c>
      <c r="B1987" t="n">
        <v>2018</v>
      </c>
      <c r="C1987" s="2" t="n">
        <v>43340.83695601852</v>
      </c>
      <c r="D1987" t="inlineStr">
        <is>
          <t>A CRITICA</t>
        </is>
      </c>
      <c r="E1987" t="inlineStr">
        <is>
          <t>VENEZUELANOS</t>
        </is>
      </c>
      <c r="F1987" t="inlineStr"/>
      <c r="G1987" t="inlineStr">
        <is>
          <t>AGÊNCIA EFE</t>
        </is>
      </c>
      <c r="H1987" t="inlineStr">
        <is>
          <t>GOVERNO DO PERU DECLARA EMERGÊNCIA SANITÁRIA POR MIGRAÇÃO DA VENEZUELA</t>
        </is>
      </c>
      <c r="I1987" t="inlineStr">
        <is>
          <t>DISTRITOS DA FRONTEIRA COM O EQUADOR ESTÃO EM PERIGO IMINENTE DIANTE DO AUMENTO DO NÚMERO DE IMIGRANTES VENEZUELANOS QUE ENTRAM AO PAÍS</t>
        </is>
      </c>
      <c r="J1987">
        <f>HYPERLINK("https://www.acritica.com/governo-do-peru-declara-emergencia-sanitaria-por-migrac-o-da-venezuela-1.199439", "URL")</f>
        <v/>
      </c>
      <c r="K1987">
        <f>HYPERLINK("https://raw.githubusercontent.com/marcosmapl/dataset_imigrantes/main/noticias_filtered/a_critica/venezuelanos/2018/07_ago/html/1.199439_586.html", "HTML")</f>
        <v/>
      </c>
      <c r="L1987">
        <f>HYPERLINK("https://raw.githubusercontent.com/marcosmapl/dataset_imigrantes/main/noticias_filtered/a_critica/venezuelanos/2018/07_ago/txt/1.199439_586.txt", "TXT")</f>
        <v/>
      </c>
    </row>
    <row r="1988">
      <c r="A1988" s="1" t="n">
        <v>1986</v>
      </c>
      <c r="B1988" t="n">
        <v>2018</v>
      </c>
      <c r="C1988" s="2" t="n">
        <v>43340.83173611111</v>
      </c>
      <c r="D1988" t="inlineStr">
        <is>
          <t>A CRITICA</t>
        </is>
      </c>
      <c r="E1988" t="inlineStr">
        <is>
          <t>VENEZUELANOS</t>
        </is>
      </c>
      <c r="F1988" t="inlineStr"/>
      <c r="G1988" t="inlineStr">
        <is>
          <t>YARA AQUINO (AGÊNCIA BRASIL)</t>
        </is>
      </c>
      <c r="H1988" t="inlineStr">
        <is>
          <t>DINHEIRO NÃO RESOLVE PROBLEMA DE RORAIMA COM VENEZUELANOS, DIZ MINISTRO PADILHA</t>
        </is>
      </c>
      <c r="I1988" t="inlineStr">
        <is>
          <t>PARA O MINISTRO-CHEFE DA CASA CIVIL, A INTERIORIZAÇÃO DE IMIGRANTES PARA OUTROS ESTADOS É O QUE VAI RESOLVER OS PROBLEMAS ENFRENTADOS EM RORAIMA</t>
        </is>
      </c>
      <c r="J1988">
        <f>HYPERLINK("https://www.acritica.com/dinheiro-n-o-resolve-problema-de-roraima-com-venezuelanos-diz-ministro-padilha-1.199484", "URL")</f>
        <v/>
      </c>
      <c r="K1988">
        <f>HYPERLINK("https://raw.githubusercontent.com/marcosmapl/dataset_imigrantes/main/noticias_filtered/a_critica/venezuelanos/2018/07_ago/html/1.199484_36.html", "HTML")</f>
        <v/>
      </c>
      <c r="L1988">
        <f>HYPERLINK("https://raw.githubusercontent.com/marcosmapl/dataset_imigrantes/main/noticias_filtered/a_critica/venezuelanos/2018/07_ago/txt/1.199484_36.txt", "TXT")</f>
        <v/>
      </c>
    </row>
    <row r="1989">
      <c r="A1989" s="1" t="n">
        <v>1987</v>
      </c>
      <c r="B1989" t="n">
        <v>2018</v>
      </c>
      <c r="C1989" s="2" t="n">
        <v>43340.77361111111</v>
      </c>
      <c r="D1989" t="inlineStr">
        <is>
          <t>PORTAL AMAZONIA</t>
        </is>
      </c>
      <c r="E1989" t="inlineStr">
        <is>
          <t>VENEZUELANOS</t>
        </is>
      </c>
      <c r="F1989" t="inlineStr">
        <is>
          <t>CIDADES</t>
        </is>
      </c>
      <c r="G1989" t="inlineStr">
        <is>
          <t>REDAÇÃO</t>
        </is>
      </c>
      <c r="H1989" t="inlineStr">
        <is>
          <t>VENEZUELANOS TRANSFERIDOS DE RORAIMA CHEGAM A MANAUS</t>
        </is>
      </c>
      <c r="I1989" t="inlineStr">
        <is>
          <t>SESSENTA E CINCO VENEZUELANOS DEIXARAM A CAPITAL DE RORAIMA, BOA VISTA, NESTA SEGUNDA-FEIRA (28) COM DESTINO A MANAUS EM BUSCA DE NOVAS OPORTUNIDADES. AO TODO, 187 VENEZUELANOS FORAM TRANSFERIDOS PELA FORÇA AÉR</t>
        </is>
      </c>
      <c r="J1989">
        <f>HYPERLINK("https://portalamazonia.com/noticias/cidades/venezuelanos-transferidos-de-roraima-chegam-a-manaus", "URL")</f>
        <v/>
      </c>
      <c r="K1989">
        <f>HYPERLINK("https://raw.githubusercontent.com/marcosmapl/dataset_imigrantes/main/noticias_filtered/portal_amazonia/venezuelanos/2018/07_ago/html/15559.15559_1526.html", "HTML")</f>
        <v/>
      </c>
      <c r="L1989">
        <f>HYPERLINK("https://raw.githubusercontent.com/marcosmapl/dataset_imigrantes/main/noticias_filtered/portal_amazonia/venezuelanos/2018/07_ago/txt/15559.15559_1526.txt", "TXT")</f>
        <v/>
      </c>
    </row>
    <row r="1990">
      <c r="A1990" s="1" t="n">
        <v>1988</v>
      </c>
      <c r="B1990" t="n">
        <v>2018</v>
      </c>
      <c r="C1990" s="2" t="n">
        <v>43340.66313657408</v>
      </c>
      <c r="D1990" t="inlineStr">
        <is>
          <t>A CRITICA</t>
        </is>
      </c>
      <c r="E1990" t="inlineStr">
        <is>
          <t>VENEZUELANOS</t>
        </is>
      </c>
      <c r="F1990" t="inlineStr">
        <is>
          <t>MANAUS</t>
        </is>
      </c>
      <c r="G1990" t="inlineStr">
        <is>
          <t>PAULO ANDRÉ NUNES</t>
        </is>
      </c>
      <c r="H1990" t="inlineStr">
        <is>
          <t>VENEZUELANOS SÃO RECEBIDOS EM ABRIGO DE MANAUS E TERÃO CURSOS PROFISSIONALIZANTES</t>
        </is>
      </c>
      <c r="I1990" t="inlineStr">
        <is>
          <t>IMIGRANTES TRAZIDOS DE RORAIMA PELA FAB PASSARÃO UM MÊS NO ESPAÇO EM PERÍODO DE INTEGRAÇÃO, QUANDO RECEBERÃO QUALIFICAÇÃO PROFISSIONAL PARA BUSCAR NOVO HORIZONTE</t>
        </is>
      </c>
      <c r="J1990">
        <f>HYPERLINK("https://www.acritica.com/manaus/venezuelanos-s-o-recebidos-em-abrigo-de-manaus-e-ter-o-cursos-profissionalizantes-1.196748", "URL")</f>
        <v/>
      </c>
      <c r="K1990">
        <f>HYPERLINK("https://raw.githubusercontent.com/marcosmapl/dataset_imigrantes/main/noticias_filtered/a_critica/venezuelanos/2018/07_ago/html/1.196748_618.html", "HTML")</f>
        <v/>
      </c>
      <c r="L1990">
        <f>HYPERLINK("https://raw.githubusercontent.com/marcosmapl/dataset_imigrantes/main/noticias_filtered/a_critica/venezuelanos/2018/07_ago/txt/1.196748_618.txt", "TXT")</f>
        <v/>
      </c>
    </row>
    <row r="1991">
      <c r="A1991" s="1" t="n">
        <v>1989</v>
      </c>
      <c r="B1991" t="n">
        <v>2018</v>
      </c>
      <c r="C1991" s="2" t="n">
        <v>43340.65533994213</v>
      </c>
      <c r="D1991" t="inlineStr">
        <is>
          <t>G1</t>
        </is>
      </c>
      <c r="E1991" t="inlineStr">
        <is>
          <t>VENEZUELANOS</t>
        </is>
      </c>
      <c r="F1991" t="inlineStr">
        <is>
          <t>RORAIMA</t>
        </is>
      </c>
      <c r="G1991" t="inlineStr">
        <is>
          <t>ALAN CHAVES, G1 RR</t>
        </is>
      </c>
      <c r="H1991" t="inlineStr">
        <is>
          <t>'ABREM-SE PORTAS PARA UMA NOVA VIDA', DIZ FAMÍLIA VENEZUELANA LEVADA DE BOA VISTA A JOÃO PESSOA</t>
        </is>
      </c>
      <c r="I1991" t="inlineStr">
        <is>
          <t>SEGUNDO A CASA CIVIL, MAIS DE MIL VENEZUELANOS FORAM LEVADOS PARA OUTROS ESTADOS DO PAÍS DESDE ABRIL. PRÓXIMO PROCESSO DE INTERIORIZAÇÃO ESTÁ PREVISTO PARA QUINTA-FEIRA (30)</t>
        </is>
      </c>
      <c r="J1991">
        <f>HYPERLINK("https://g1.globo.com/rr/roraima/noticia/2018/08/28/abrem-se-portas-para-uma-nova-vida-diz-familia-venezuelana-levada-de-boa-vista-a-joao-pessoa.ghtml", "URL")</f>
        <v/>
      </c>
      <c r="K1991">
        <f>HYPERLINK("https://raw.githubusercontent.com/marcosmapl/dataset_imigrantes/main/noticias_filtered/g1/venezuelanos/2018/07_ago/html/g1_7d428a26-2328-11ed-b24f-6dbe51e79fca_4081.html", "HTML")</f>
        <v/>
      </c>
      <c r="L1991">
        <f>HYPERLINK("https://raw.githubusercontent.com/marcosmapl/dataset_imigrantes/main/noticias_filtered/g1/venezuelanos/2018/07_ago/txt/g1_7d428a26-2328-11ed-b24f-6dbe51e79fca_4081.txt", "TXT")</f>
        <v/>
      </c>
    </row>
    <row r="1992">
      <c r="A1992" s="1" t="n">
        <v>1990</v>
      </c>
      <c r="B1992" t="n">
        <v>2018</v>
      </c>
      <c r="C1992" s="2" t="n">
        <v>43340.59383101852</v>
      </c>
      <c r="D1992" t="inlineStr">
        <is>
          <t>A CRITICA</t>
        </is>
      </c>
      <c r="E1992" t="inlineStr">
        <is>
          <t>VENEZUELANOS</t>
        </is>
      </c>
      <c r="F1992" t="inlineStr"/>
      <c r="G1992" t="inlineStr">
        <is>
          <t>AFP</t>
        </is>
      </c>
      <c r="H1992" t="inlineStr">
        <is>
          <t>COLÔMBIA DEIXA UNASUL POR 'CUMPLICIDADE COM DITADURA' NA VENEZUELA</t>
        </is>
      </c>
      <c r="I1992" t="inlineStr">
        <is>
          <t>O PRESIDENTE SUSTENTA QUE O BLOCO REGIONAL, CRIADO POR INCIATIVA DE LULA E HUGO CHÁVEZ, "NUNCA DENUNCIOU ATROPELOS", COMO TAMPOUCO GARANTIU AS LIBERDADES DOS VENEZUELANOS.</t>
        </is>
      </c>
      <c r="J1992">
        <f>HYPERLINK("https://www.acritica.com/colombia-deixa-unasul-por-cumplicidade-com-ditadura-na-venezuela-1.199571", "URL")</f>
        <v/>
      </c>
      <c r="K1992">
        <f>HYPERLINK("https://raw.githubusercontent.com/marcosmapl/dataset_imigrantes/main/noticias_filtered/a_critica/venezuelanos/2018/07_ago/html/1.199571_746.html", "HTML")</f>
        <v/>
      </c>
      <c r="L1992">
        <f>HYPERLINK("https://raw.githubusercontent.com/marcosmapl/dataset_imigrantes/main/noticias_filtered/a_critica/venezuelanos/2018/07_ago/txt/1.199571_746.txt", "TXT")</f>
        <v/>
      </c>
    </row>
    <row r="1993">
      <c r="A1993" s="1" t="n">
        <v>1991</v>
      </c>
      <c r="B1993" t="n">
        <v>2018</v>
      </c>
      <c r="C1993" s="2" t="n">
        <v>43340.54944358797</v>
      </c>
      <c r="D1993" t="inlineStr">
        <is>
          <t>G1</t>
        </is>
      </c>
      <c r="E1993" t="inlineStr">
        <is>
          <t>VENEZUELANOS</t>
        </is>
      </c>
      <c r="F1993" t="inlineStr">
        <is>
          <t>AMAPÁ</t>
        </is>
      </c>
      <c r="G1993" t="inlineStr">
        <is>
          <t>CARLOS ALBERTO JR, G1 AP — MACAPÁ</t>
        </is>
      </c>
      <c r="H1993" t="inlineStr">
        <is>
          <t>VENEZUELANO PRESO NO AP COM 1 QUILO DE COCAÍNA NO ESTÔMAGO MORRE EM HOSPITAL</t>
        </is>
      </c>
      <c r="I1993" t="inlineStr">
        <is>
          <t>ESTRANGEIRO PRETENDIA IR PARA A EUROPA, MAS PASSOU MAL E DECIDIU PARAR EM MACAPÁ EM BUSCA DE AJUDA MÉDICA. ELE ESTAVA INTERNADO DESDE O DIA 8 DE AGOSTO NO HOSPITAL DE EMERGÊNCIAS.</t>
        </is>
      </c>
      <c r="J1993">
        <f>HYPERLINK("https://g1.globo.com/ap/amapa/noticia/2018/08/28/venezuelano-preso-no-ap-com-1-quilo-de-cocaina-no-estomago-morre-em-hospital.ghtml", "URL")</f>
        <v/>
      </c>
      <c r="K1993">
        <f>HYPERLINK("https://raw.githubusercontent.com/marcosmapl/dataset_imigrantes/main/noticias_filtered/g1/venezuelanos/2018/07_ago/html/g1_e35ea420-230f-11ed-b24f-6dbe51e79fca_2825.html", "HTML")</f>
        <v/>
      </c>
      <c r="L1993">
        <f>HYPERLINK("https://raw.githubusercontent.com/marcosmapl/dataset_imigrantes/main/noticias_filtered/g1/venezuelanos/2018/07_ago/txt/g1_e35ea420-230f-11ed-b24f-6dbe51e79fca_2825.txt", "TXT")</f>
        <v/>
      </c>
    </row>
    <row r="1994">
      <c r="A1994" s="1" t="n">
        <v>1992</v>
      </c>
      <c r="B1994" t="n">
        <v>2018</v>
      </c>
      <c r="C1994" s="2" t="n">
        <v>43340.51944444444</v>
      </c>
      <c r="D1994" t="inlineStr">
        <is>
          <t>A CRITICA</t>
        </is>
      </c>
      <c r="E1994" t="inlineStr">
        <is>
          <t>VENEZUELANOS</t>
        </is>
      </c>
      <c r="F1994" t="inlineStr">
        <is>
          <t>MANAUS</t>
        </is>
      </c>
      <c r="G1994" t="inlineStr">
        <is>
          <t>CAROLINA GONÇALVES - REPÓRTER DA AGÊNCIA BRASIL</t>
        </is>
      </c>
      <c r="H1994" t="inlineStr">
        <is>
          <t>INTERIORIZAÇÃO: MANAUS RECEBE 65 VENEZUELANOS QUE VIVIAM EM RORAIMA</t>
        </is>
      </c>
      <c r="I1994" t="inlineStr">
        <is>
          <t>GRUPO FOI TRAZIDO PARA A CAPITAL AMAZONENSE NESTA MANHÃ EM AVIÃO DA FORÇA AÉREA BRASILEIRA; 69 VÃO PARA PARAÍBA E OUTROS 53 PARA SÃO PAULO</t>
        </is>
      </c>
      <c r="J1994">
        <f>HYPERLINK("https://www.acritica.com/manaus/interiorizac-o-manaus-recebe-65-venezuelanos-que-viviam-em-roraima-1.199588", "URL")</f>
        <v/>
      </c>
      <c r="K1994">
        <f>HYPERLINK("https://raw.githubusercontent.com/marcosmapl/dataset_imigrantes/main/noticias_filtered/a_critica/venezuelanos/2018/07_ago/html/1.199588_671.html", "HTML")</f>
        <v/>
      </c>
      <c r="L1994">
        <f>HYPERLINK("https://raw.githubusercontent.com/marcosmapl/dataset_imigrantes/main/noticias_filtered/a_critica/venezuelanos/2018/07_ago/txt/1.199588_671.txt", "TXT")</f>
        <v/>
      </c>
    </row>
    <row r="1995">
      <c r="A1995" s="1" t="n">
        <v>1993</v>
      </c>
      <c r="B1995" t="n">
        <v>2018</v>
      </c>
      <c r="C1995" s="2" t="n">
        <v>43340.46111111111</v>
      </c>
      <c r="D1995" t="inlineStr">
        <is>
          <t>PORTAL AMAZONIA</t>
        </is>
      </c>
      <c r="E1995" t="inlineStr">
        <is>
          <t>VENEZUELANOS</t>
        </is>
      </c>
      <c r="F1995" t="inlineStr">
        <is>
          <t>CIDADES</t>
        </is>
      </c>
      <c r="G1995" t="inlineStr">
        <is>
          <t>REDAÇÃO</t>
        </is>
      </c>
      <c r="H1995" t="inlineStr">
        <is>
          <t>MAIS DE 270 VENEZUELANOS SÃO TRANSFERIDOS DE RORAIMA; 63 SÓ PARA MANAUS</t>
        </is>
      </c>
      <c r="I1995" t="inlineStr">
        <is>
          <t>SEIS CIDADES BRASILEIRAS RECEBERÃO NESTA SEMANA VENEZUELANOS QUE VIVEM EM RORAIMA E SE VOLUNTARIARAM PARA PARTICIPAR DO PROCESSO DE INTERIORIZAÇÃO. NA TERÇA-FEIRA (28), 63 PESSOAS IRÃO VIAJAR DE BOA VISTA PARA MANAUS (AM), 71 PARA JOÃO PESSOA (PB) E</t>
        </is>
      </c>
      <c r="J1995">
        <f>HYPERLINK("https://portalamazonia.com/noticias/cidades/mais-de-270-venezuelanos-sao-transferidos-de-roraima-63-so-para-manaus", "URL")</f>
        <v/>
      </c>
      <c r="K1995">
        <f>HYPERLINK("https://raw.githubusercontent.com/marcosmapl/dataset_imigrantes/main/noticias_filtered/portal_amazonia/venezuelanos/2018/07_ago/html/15554.15554_1488.html", "HTML")</f>
        <v/>
      </c>
      <c r="L1995">
        <f>HYPERLINK("https://raw.githubusercontent.com/marcosmapl/dataset_imigrantes/main/noticias_filtered/portal_amazonia/venezuelanos/2018/07_ago/txt/15554.15554_1488.txt", "TXT")</f>
        <v/>
      </c>
    </row>
    <row r="1996">
      <c r="A1996" s="1" t="n">
        <v>1994</v>
      </c>
      <c r="B1996" t="n">
        <v>2018</v>
      </c>
      <c r="C1996" s="2" t="n">
        <v>43340.37576914352</v>
      </c>
      <c r="D1996" t="inlineStr">
        <is>
          <t>G1</t>
        </is>
      </c>
      <c r="E1996" t="inlineStr">
        <is>
          <t>HAITIANOS</t>
        </is>
      </c>
      <c r="F1996" t="inlineStr">
        <is>
          <t>SANTA CATARINA</t>
        </is>
      </c>
      <c r="G1996" t="inlineStr">
        <is>
          <t>JULIANO ZANOTELLI, ESPECIAL G1 SC</t>
        </is>
      </c>
      <c r="H1996" t="inlineStr">
        <is>
          <t>IMIGRANTES E REFUGIADAS DESENVOLVEM COLEÇÕES COM TECIDOS E AVIAMENTOS QUE IRIAM PARA O LIXO, EM SC</t>
        </is>
      </c>
      <c r="I1996" t="inlineStr">
        <is>
          <t>ELES PARTICIPAM DO PROJETO TRÈS DEYÓ, QUE PROMOVE INCLUSÃO SOCIAL ATRAVÉS DA MODA EM SÃO JOSÉ.</t>
        </is>
      </c>
      <c r="J1996">
        <f>HYPERLINK("https://g1.globo.com/sc/santa-catarina/sc-mais/noticia/2018/08/28/imigrantes-e-refugiadas-desenvolvem-colecoes-com-tecidos-e-aviamentos-que-iriam-para-o-lixo-em-sc.ghtml", "URL")</f>
        <v/>
      </c>
      <c r="K1996">
        <f>HYPERLINK("https://raw.githubusercontent.com/marcosmapl/dataset_imigrantes/main/noticias_filtered/g1/haitianos/2018/07_ago/html/g1_969fb012-232c-11ed-b24f-6dbe51e79fca_4315.html", "HTML")</f>
        <v/>
      </c>
      <c r="L1996">
        <f>HYPERLINK("https://raw.githubusercontent.com/marcosmapl/dataset_imigrantes/main/noticias_filtered/g1/haitianos/2018/07_ago/txt/g1_969fb012-232c-11ed-b24f-6dbe51e79fca_4315.txt", "TXT")</f>
        <v/>
      </c>
    </row>
    <row r="1997">
      <c r="A1997" s="1" t="n">
        <v>1995</v>
      </c>
      <c r="B1997" t="n">
        <v>2018</v>
      </c>
      <c r="C1997" s="2" t="n">
        <v>43339.96359953703</v>
      </c>
      <c r="D1997" t="inlineStr">
        <is>
          <t>A CRITICA</t>
        </is>
      </c>
      <c r="E1997" t="inlineStr">
        <is>
          <t>VENEZUELANOS</t>
        </is>
      </c>
      <c r="F1997" t="inlineStr"/>
      <c r="G1997" t="inlineStr">
        <is>
          <t>AFP</t>
        </is>
      </c>
      <c r="H1997" t="inlineStr">
        <is>
          <t>EMIGRANTES VENEZUELANOS REGRESSAM AO PAÍS EM AVIÃO ENVIADO POR MADURO</t>
        </is>
      </c>
      <c r="I1997" t="inlineStr">
        <is>
          <t>GRUPO DE 97 VENEZUELANOS, INCLUINDO 22 CRIANÇAS, QUE ENFRENTAVA DIFICULDADES NO PERU ADERIRAM A UM PLANO DO GOVERNO MADURO E RETORNARAM PARA A TERRA NATAL</t>
        </is>
      </c>
      <c r="J1997">
        <f>HYPERLINK("https://www.acritica.com/emigrantes-venezuelanos-regressam-ao-pais-em-avi-o-enviado-por-maduro-1.199633", "URL")</f>
        <v/>
      </c>
      <c r="K1997">
        <f>HYPERLINK("https://raw.githubusercontent.com/marcosmapl/dataset_imigrantes/main/noticias_filtered/a_critica/venezuelanos/2018/07_ago/html/1.199633_473.html", "HTML")</f>
        <v/>
      </c>
      <c r="L1997">
        <f>HYPERLINK("https://raw.githubusercontent.com/marcosmapl/dataset_imigrantes/main/noticias_filtered/a_critica/venezuelanos/2018/07_ago/txt/1.199633_473.txt", "TXT")</f>
        <v/>
      </c>
    </row>
    <row r="1998">
      <c r="A1998" s="1" t="n">
        <v>1996</v>
      </c>
      <c r="B1998" t="n">
        <v>2018</v>
      </c>
      <c r="C1998" s="2" t="n">
        <v>43339.91246527778</v>
      </c>
      <c r="D1998" t="inlineStr">
        <is>
          <t>A CRITICA</t>
        </is>
      </c>
      <c r="E1998" t="inlineStr">
        <is>
          <t>VENEZUELANOS</t>
        </is>
      </c>
      <c r="F1998" t="inlineStr">
        <is>
          <t>MANAUS</t>
        </is>
      </c>
      <c r="G1998" t="inlineStr">
        <is>
          <t>DÉBORA BRITO E PAULO VICTOR CHAGAS - REPÓRTERES DA AGÊNCIA BRASIL</t>
        </is>
      </c>
      <c r="H1998" t="inlineStr">
        <is>
          <t>AMAZONAS VAI RECEBER PARTE DE IMIGRANTES VENEZUELANOS NESTA TERÇA-FEIRA</t>
        </is>
      </c>
      <c r="I1998" t="inlineStr">
        <is>
          <t>PROGRAMA DE INTERIORIZAÇÃO DOS REFUGIADOS QUE ATUALMENTE VIVEM EM RORAIMA COMEÇA NESTA TERÇA-FEIRA E TEM A CAPITAL AMAZONENSE COMO UM DOS DESTINOS DOS IMIGRANTES</t>
        </is>
      </c>
      <c r="J1998">
        <f>HYPERLINK("https://www.acritica.com/manaus/amazonas-vai-receber-parte-de-imigrantes-venezuelanos-nesta-terca-feira-1.199659", "URL")</f>
        <v/>
      </c>
      <c r="K1998">
        <f>HYPERLINK("https://raw.githubusercontent.com/marcosmapl/dataset_imigrantes/main/noticias_filtered/a_critica/venezuelanos/2018/07_ago/html/1.199659_769.html", "HTML")</f>
        <v/>
      </c>
      <c r="L1998">
        <f>HYPERLINK("https://raw.githubusercontent.com/marcosmapl/dataset_imigrantes/main/noticias_filtered/a_critica/venezuelanos/2018/07_ago/txt/1.199659_769.txt", "TXT")</f>
        <v/>
      </c>
    </row>
    <row r="1999">
      <c r="A1999" s="1" t="n">
        <v>1997</v>
      </c>
      <c r="B1999" t="n">
        <v>2018</v>
      </c>
      <c r="C1999" s="2" t="n">
        <v>43338.62377988426</v>
      </c>
      <c r="D1999" t="inlineStr">
        <is>
          <t>G1</t>
        </is>
      </c>
      <c r="E1999" t="inlineStr">
        <is>
          <t>VENEZUELANOS</t>
        </is>
      </c>
      <c r="F1999" t="inlineStr">
        <is>
          <t>MUNDO</t>
        </is>
      </c>
      <c r="G1999" t="inlineStr">
        <is>
          <t>FRANCE PRESSE</t>
        </is>
      </c>
      <c r="H1999" t="inlineStr">
        <is>
          <t>QUAIS SÃO EFEITOS DA CRISE MIGRATÓRIA DA VENEZUELA NA AMÉRICA DO SUL?</t>
        </is>
      </c>
      <c r="I1999" t="inlineStr">
        <is>
          <t>ENTENDA QUAL A MAGNITUDE DA MIGRAÇÃO VENEZUELANA, COMO SE CHEGOU A ESTA SITUAÇÃO E QUAIS OS SEUS REFLEXOS.</t>
        </is>
      </c>
      <c r="J1999">
        <f>HYPERLINK("https://g1.globo.com/mundo/noticia/2018/08/26/quais-sao-efeitos-da-crise-migratoria-da-venezuela-na-america-do-sul.ghtml", "URL")</f>
        <v/>
      </c>
      <c r="K1999">
        <f>HYPERLINK("https://raw.githubusercontent.com/marcosmapl/dataset_imigrantes/main/noticias_filtered/g1/venezuelanos/2018/07_ago/html/g1_33e820b4-2320-11ed-b24f-6dbe51e79fca_3669.html", "HTML")</f>
        <v/>
      </c>
      <c r="L1999">
        <f>HYPERLINK("https://raw.githubusercontent.com/marcosmapl/dataset_imigrantes/main/noticias_filtered/g1/venezuelanos/2018/07_ago/txt/g1_33e820b4-2320-11ed-b24f-6dbe51e79fca_3669.txt", "TXT")</f>
        <v/>
      </c>
    </row>
    <row r="2000">
      <c r="A2000" s="1" t="n">
        <v>1998</v>
      </c>
      <c r="B2000" t="n">
        <v>2018</v>
      </c>
      <c r="C2000" s="2" t="n">
        <v>43338.43680555555</v>
      </c>
      <c r="D2000" t="inlineStr">
        <is>
          <t>A CRITICA</t>
        </is>
      </c>
      <c r="E2000" t="inlineStr">
        <is>
          <t>VENEZUELANOS</t>
        </is>
      </c>
      <c r="F2000" t="inlineStr"/>
      <c r="G2000" t="inlineStr"/>
      <c r="H2000" t="inlineStr">
        <is>
          <t>BUROCRACIA GERA ATRASO NA CAMPANHA</t>
        </is>
      </c>
      <c r="I2000" t="inlineStr"/>
      <c r="J2000">
        <f>HYPERLINK("https://www.acritica.com/burocracia-gera-atraso-na-campanha-1.230140", "URL")</f>
        <v/>
      </c>
      <c r="K2000">
        <f>HYPERLINK("https://raw.githubusercontent.com/marcosmapl/dataset_imigrantes/main/noticias_filtered/a_critica/venezuelanos/2018/07_ago/html/1.230140_863.html", "HTML")</f>
        <v/>
      </c>
      <c r="L2000">
        <f>HYPERLINK("https://raw.githubusercontent.com/marcosmapl/dataset_imigrantes/main/noticias_filtered/a_critica/venezuelanos/2018/07_ago/txt/1.230140_863.txt", "TXT")</f>
        <v/>
      </c>
    </row>
    <row r="2001">
      <c r="A2001" s="1" t="n">
        <v>1999</v>
      </c>
      <c r="B2001" t="n">
        <v>2018</v>
      </c>
      <c r="C2001" s="2" t="n">
        <v>43337.89371527778</v>
      </c>
      <c r="D2001" t="inlineStr">
        <is>
          <t>A CRITICA</t>
        </is>
      </c>
      <c r="E2001" t="inlineStr">
        <is>
          <t>VENEZUELANOS</t>
        </is>
      </c>
      <c r="F2001" t="inlineStr"/>
      <c r="G2001" t="inlineStr">
        <is>
          <t>ACRÍTICA.COM</t>
        </is>
      </c>
      <c r="H2001" t="inlineStr">
        <is>
          <t>GOVERNO FEDERAL PROMOVE ATENDIMENTO A VENEZUELANOS EM RORAIMA</t>
        </is>
      </c>
      <c r="I2001" t="inlineStr">
        <is>
          <t>VOLUNTÁRIOS DA AÇÃO MÉDICO-HUMANITÁRIA DESTINADA AO ATENDIMENTO DE IMIGRANTES VENEZUELANOS QUE CHEGAM A RORAIMA A PARTIR DESTE DOMINGO (26)</t>
        </is>
      </c>
      <c r="J2001">
        <f>HYPERLINK("https://www.acritica.com/governo-federal-promove-atendimento-a-venezuelanos-em-roraima-1.199674", "URL")</f>
        <v/>
      </c>
      <c r="K2001">
        <f>HYPERLINK("https://raw.githubusercontent.com/marcosmapl/dataset_imigrantes/main/noticias_filtered/a_critica/venezuelanos/2018/07_ago/html/1.199674_980.html", "HTML")</f>
        <v/>
      </c>
      <c r="L2001">
        <f>HYPERLINK("https://raw.githubusercontent.com/marcosmapl/dataset_imigrantes/main/noticias_filtered/a_critica/venezuelanos/2018/07_ago/txt/1.199674_980.txt", "TXT")</f>
        <v/>
      </c>
    </row>
    <row r="2002">
      <c r="A2002" s="1" t="n">
        <v>2000</v>
      </c>
      <c r="B2002" t="n">
        <v>2018</v>
      </c>
      <c r="C2002" s="2" t="n">
        <v>43337.81947916667</v>
      </c>
      <c r="D2002" t="inlineStr">
        <is>
          <t>A CRITICA</t>
        </is>
      </c>
      <c r="E2002" t="inlineStr">
        <is>
          <t>VENEZUELANOS</t>
        </is>
      </c>
      <c r="F2002" t="inlineStr"/>
      <c r="G2002" t="inlineStr">
        <is>
          <t>PAULO VICTOR CHAGAS – REPÓRTER DA AGÊNCIA BRASIL</t>
        </is>
      </c>
      <c r="H2002" t="inlineStr">
        <is>
          <t>GOVERNO NÃO VOLTARÁ A FECHAR FRONTEIRA COM VENEZUELA, DIZ PRESIDENTE TEMER</t>
        </is>
      </c>
      <c r="I2002" t="inlineStr">
        <is>
          <t>NOS ÚLTIMOS DIAS, O PALÁCIO DO PLANALTO HAVIA NEGADO A HIPÓTESE DE RESTRINGIR A FRONTEIRA DEVIDO AO ALTO FLUXO DE VENEZUELANOS, EM ESPECIAL APÓS OS CONFLITOS COM BRASILEIROS NO ÚLTIMO FIM DE SEMANA.</t>
        </is>
      </c>
      <c r="J2002">
        <f>HYPERLINK("https://www.acritica.com/governo-n-o-voltara-a-fechar-fronteira-com-venezuela-diz-presidente-temer-1.196105", "URL")</f>
        <v/>
      </c>
      <c r="K2002">
        <f>HYPERLINK("https://raw.githubusercontent.com/marcosmapl/dataset_imigrantes/main/noticias_filtered/a_critica/venezuelanos/2018/07_ago/html/1.196105_579.html", "HTML")</f>
        <v/>
      </c>
      <c r="L2002">
        <f>HYPERLINK("https://raw.githubusercontent.com/marcosmapl/dataset_imigrantes/main/noticias_filtered/a_critica/venezuelanos/2018/07_ago/txt/1.196105_579.txt", "TXT")</f>
        <v/>
      </c>
    </row>
    <row r="2003">
      <c r="A2003" s="1" t="n">
        <v>2001</v>
      </c>
      <c r="B2003" t="n">
        <v>2018</v>
      </c>
      <c r="C2003" s="2" t="n">
        <v>43337.62406746528</v>
      </c>
      <c r="D2003" t="inlineStr">
        <is>
          <t>G1</t>
        </is>
      </c>
      <c r="E2003" t="inlineStr">
        <is>
          <t>VENEZUELANOS</t>
        </is>
      </c>
      <c r="F2003" t="inlineStr">
        <is>
          <t>PARÁ</t>
        </is>
      </c>
      <c r="G2003" t="inlineStr">
        <is>
          <t>G1 PA — BELÉM</t>
        </is>
      </c>
      <c r="H2003" t="inlineStr">
        <is>
          <t>MORRE CRIANÇA VENEZUELANA DE QUATRO MESES COM SARAMPO NO PARÁ</t>
        </is>
      </c>
      <c r="I2003" t="inlineStr">
        <is>
          <t>HOSPITAL BARROS BARRETO CONFIRMOU A MORTE COM SARAMPO NESTE SÁBADO (25). ESTE FOI O PRIMEIRO CASO DE MORTE DE UMA CRIANÇA DA ETNIA WARAO COM SARAMPO EM 2018 NO ESTADO.</t>
        </is>
      </c>
      <c r="J2003">
        <f>HYPERLINK("https://g1.globo.com/pa/para/noticia/2018/08/25/morre-crianca-venezuelana-de-quatro-meses-com-sarampo-no-para.ghtml", "URL")</f>
        <v/>
      </c>
      <c r="K2003">
        <f>HYPERLINK("https://raw.githubusercontent.com/marcosmapl/dataset_imigrantes/main/noticias_filtered/g1/venezuelanos/2018/07_ago/html/g1_f61c6bf8-2308-11ed-b24f-6dbe51e79fca_2416.html", "HTML")</f>
        <v/>
      </c>
      <c r="L2003">
        <f>HYPERLINK("https://raw.githubusercontent.com/marcosmapl/dataset_imigrantes/main/noticias_filtered/g1/venezuelanos/2018/07_ago/txt/g1_f61c6bf8-2308-11ed-b24f-6dbe51e79fca_2416.txt", "TXT")</f>
        <v/>
      </c>
    </row>
    <row r="2004">
      <c r="A2004" s="1" t="n">
        <v>2002</v>
      </c>
      <c r="B2004" t="n">
        <v>2018</v>
      </c>
      <c r="C2004" s="2" t="n">
        <v>43337.46547453704</v>
      </c>
      <c r="D2004" t="inlineStr">
        <is>
          <t>A CRITICA</t>
        </is>
      </c>
      <c r="E2004" t="inlineStr">
        <is>
          <t>VENEZUELANOS</t>
        </is>
      </c>
      <c r="F2004" t="inlineStr"/>
      <c r="G2004" t="inlineStr"/>
      <c r="H2004" t="inlineStr">
        <is>
          <t>FORTALEZA É A PREFERIDA DO MANAUARA</t>
        </is>
      </c>
      <c r="I2004" t="inlineStr"/>
      <c r="J2004">
        <f>HYPERLINK("https://www.acritica.com/fortaleza-e-a-preferida-do-manauara-1.230770", "URL")</f>
        <v/>
      </c>
      <c r="K2004">
        <f>HYPERLINK("https://raw.githubusercontent.com/marcosmapl/dataset_imigrantes/main/noticias_filtered/a_critica/venezuelanos/2018/07_ago/html/1.230770_207.html", "HTML")</f>
        <v/>
      </c>
      <c r="L2004">
        <f>HYPERLINK("https://raw.githubusercontent.com/marcosmapl/dataset_imigrantes/main/noticias_filtered/a_critica/venezuelanos/2018/07_ago/txt/1.230770_207.txt", "TXT")</f>
        <v/>
      </c>
    </row>
    <row r="2005">
      <c r="A2005" s="1" t="n">
        <v>2003</v>
      </c>
      <c r="B2005" t="n">
        <v>2018</v>
      </c>
      <c r="C2005" s="2" t="n">
        <v>43337.04745488426</v>
      </c>
      <c r="D2005" t="inlineStr">
        <is>
          <t>G1</t>
        </is>
      </c>
      <c r="E2005" t="inlineStr">
        <is>
          <t>VENEZUELANOS</t>
        </is>
      </c>
      <c r="F2005" t="inlineStr">
        <is>
          <t>JORNAL NACIONAL</t>
        </is>
      </c>
      <c r="G2005" t="inlineStr">
        <is>
          <t>JORNAL NACIONAL</t>
        </is>
      </c>
      <c r="H2005" t="inlineStr">
        <is>
          <t>VENEZUELANAS DEIXAM FILHOS NO PAÍS PARA TENTAR UMA VIDA MELHOR EM SP</t>
        </is>
      </c>
      <c r="I2005" t="inlineStr">
        <is>
          <t>ANDREA, JOANA E YARELLIS SUSTENTAM AS FAMÍLIAS NA VENEZUELA E QUEREM TRAZER OS FILHOS PARA O BRASIL. MORAM JUNTAS NUMA CASA ALUGADA E TÊM NA PROPRIETÁRIA UMA GRANDE AMIGA.</t>
        </is>
      </c>
      <c r="J2005">
        <f>HYPERLINK("https://g1.globo.com/jornal-nacional/noticia/2018/08/24/venezuelanas-deixam-filhos-no-pais-para-tentar-uma-vida-melhor-em-sp.ghtml", "URL")</f>
        <v/>
      </c>
      <c r="K2005">
        <f>HYPERLINK("https://raw.githubusercontent.com/marcosmapl/dataset_imigrantes/main/noticias_filtered/g1/venezuelanos/2018/07_ago/html/g1_0a495660-2307-11ed-b24f-6dbe51e79fca_2293.html", "HTML")</f>
        <v/>
      </c>
      <c r="L2005">
        <f>HYPERLINK("https://raw.githubusercontent.com/marcosmapl/dataset_imigrantes/main/noticias_filtered/g1/venezuelanos/2018/07_ago/txt/g1_0a495660-2307-11ed-b24f-6dbe51e79fca_2293.txt", "TXT")</f>
        <v/>
      </c>
    </row>
    <row r="2006">
      <c r="A2006" s="1" t="n">
        <v>2004</v>
      </c>
      <c r="B2006" t="n">
        <v>2018</v>
      </c>
      <c r="C2006" s="2" t="n">
        <v>43337.0101264699</v>
      </c>
      <c r="D2006" t="inlineStr">
        <is>
          <t>G1</t>
        </is>
      </c>
      <c r="E2006" t="inlineStr">
        <is>
          <t>VENEZUELANOS</t>
        </is>
      </c>
      <c r="F2006" t="inlineStr">
        <is>
          <t>SÃO PAULO</t>
        </is>
      </c>
      <c r="G2006" t="inlineStr">
        <is>
          <t>ROBERTO KOVALICK, JORNAL NACIONAL</t>
        </is>
      </c>
      <c r="H2006" t="inlineStr">
        <is>
          <t>IDOSA GANHA 'NOVA FAMÍLIA' COM CHEGADA DE VENEZUELANAS A SÃO PAULO</t>
        </is>
      </c>
      <c r="I2006" t="inlineStr">
        <is>
          <t>CRISE NA VENEZUELA TRAZ CERCA DE 800 IMIGRANTES POR DIA AO BRASIL.</t>
        </is>
      </c>
      <c r="J2006">
        <f>HYPERLINK("https://g1.globo.com/sp/sao-paulo/noticia/2018/08/24/idosa-ganha-nova-familia-com-chegada-de-venezuelanas-a-sao-paulo.ghtml", "URL")</f>
        <v/>
      </c>
      <c r="K2006">
        <f>HYPERLINK("https://raw.githubusercontent.com/marcosmapl/dataset_imigrantes/main/noticias_filtered/g1/venezuelanos/2018/07_ago/html/g1_762abb98-2312-11ed-b24f-6dbe51e79fca_2967.html", "HTML")</f>
        <v/>
      </c>
      <c r="L2006">
        <f>HYPERLINK("https://raw.githubusercontent.com/marcosmapl/dataset_imigrantes/main/noticias_filtered/g1/venezuelanos/2018/07_ago/txt/g1_762abb98-2312-11ed-b24f-6dbe51e79fca_2967.txt", "TXT")</f>
        <v/>
      </c>
    </row>
    <row r="2007">
      <c r="A2007" s="1" t="n">
        <v>2005</v>
      </c>
      <c r="B2007" t="n">
        <v>2018</v>
      </c>
      <c r="C2007" s="2" t="n">
        <v>43336.8546677662</v>
      </c>
      <c r="D2007" t="inlineStr">
        <is>
          <t>G1</t>
        </is>
      </c>
      <c r="E2007" t="inlineStr">
        <is>
          <t>VENEZUELANOS</t>
        </is>
      </c>
      <c r="F2007" t="inlineStr">
        <is>
          <t>PARÁ</t>
        </is>
      </c>
      <c r="G2007" t="inlineStr">
        <is>
          <t>G1 PA — BELÉM</t>
        </is>
      </c>
      <c r="H2007" t="inlineStr">
        <is>
          <t>EXAME REVELA QUE BEBÊ INDÍGENA VENEZUELANO NÃO MORREU POR SARAMPO; SESMA CONTINUA INVESTIGANDO O CASO</t>
        </is>
      </c>
      <c r="I2007" t="inlineStr">
        <is>
          <t>A CRIANÇA DE CINCO MESES FOI INTERNADA NO PRONTO SOCORRO MUNICIPAL MÁRIO PINOTTI, EM BELÉM, NA ÚLTIMA SEXTA-FEIRA (17). SECRETARIA INFORMOU QUE TODOS OS INDÍGENAS DA ETNIA WARAO FORAM VACINADOS EM BELÉM.</t>
        </is>
      </c>
      <c r="J2007">
        <f>HYPERLINK("https://g1.globo.com/pa/para/noticia/2018/08/24/exame-revela-que-bebe-indigena-venezuelano-nao-morreu-por-sarampo-sesma-continua-investigando-o-caso.ghtml", "URL")</f>
        <v/>
      </c>
      <c r="K2007">
        <f>HYPERLINK("https://raw.githubusercontent.com/marcosmapl/dataset_imigrantes/main/noticias_filtered/g1/venezuelanos/2018/07_ago/html/g1_d602e2b0-2318-11ed-b24f-6dbe51e79fca_3283.html", "HTML")</f>
        <v/>
      </c>
      <c r="L2007">
        <f>HYPERLINK("https://raw.githubusercontent.com/marcosmapl/dataset_imigrantes/main/noticias_filtered/g1/venezuelanos/2018/07_ago/txt/g1_d602e2b0-2318-11ed-b24f-6dbe51e79fca_3283.txt", "TXT")</f>
        <v/>
      </c>
    </row>
    <row r="2008">
      <c r="A2008" s="1" t="n">
        <v>2006</v>
      </c>
      <c r="B2008" t="n">
        <v>2018</v>
      </c>
      <c r="C2008" s="2" t="n">
        <v>43336.75758084491</v>
      </c>
      <c r="D2008" t="inlineStr">
        <is>
          <t>G1</t>
        </is>
      </c>
      <c r="E2008" t="inlineStr">
        <is>
          <t>VENEZUELANOS</t>
        </is>
      </c>
      <c r="F2008" t="inlineStr">
        <is>
          <t>PARÁ</t>
        </is>
      </c>
      <c r="G2008" t="inlineStr">
        <is>
          <t>G1 PA — BELÉM</t>
        </is>
      </c>
      <c r="H2008" t="inlineStr">
        <is>
          <t>BEBÊ INDÍGENA VENEZUELANO MORRE COM SUSPEITA DE SARAMPO, EM BELÉM</t>
        </is>
      </c>
      <c r="I2008" t="inlineStr">
        <is>
          <t>A CRIANÇA DE CINCO MESES FOI INTERNADA NO PRONTO SOCORRO MUNICIPAL MÁRIO PINOTTI, EM BELÉM, NA ÚLTIMA SEXTA-FEIRA (17). PREFEITURA AINDA NÃO CONFIRMA QUE MORTE FOI POR SARAMPO. SECRETARIA INFORMOU QUE TODOS OS INDÍGENAS DA ETNIA WARAO FORAM VACINADOS EM BELÉM.</t>
        </is>
      </c>
      <c r="J2008">
        <f>HYPERLINK("https://g1.globo.com/pa/para/noticia/2018/08/24/bebe-indigena-venezuelano-morre-com-suspeita-de-sarampo-em-belem.ghtml", "URL")</f>
        <v/>
      </c>
      <c r="K2008">
        <f>HYPERLINK("https://raw.githubusercontent.com/marcosmapl/dataset_imigrantes/main/noticias_filtered/g1/venezuelanos/2018/07_ago/html/g1_41f63570-2315-11ed-b24f-6dbe51e79fca_3075.html", "HTML")</f>
        <v/>
      </c>
      <c r="L2008">
        <f>HYPERLINK("https://raw.githubusercontent.com/marcosmapl/dataset_imigrantes/main/noticias_filtered/g1/venezuelanos/2018/07_ago/txt/g1_41f63570-2315-11ed-b24f-6dbe51e79fca_3075.txt", "TXT")</f>
        <v/>
      </c>
    </row>
    <row r="2009">
      <c r="A2009" s="1" t="n">
        <v>2007</v>
      </c>
      <c r="B2009" t="n">
        <v>2018</v>
      </c>
      <c r="C2009" s="2" t="n">
        <v>43336.50866898148</v>
      </c>
      <c r="D2009" t="inlineStr">
        <is>
          <t>A CRITICA</t>
        </is>
      </c>
      <c r="E2009" t="inlineStr">
        <is>
          <t>VENEZUELANOS</t>
        </is>
      </c>
      <c r="F2009" t="inlineStr"/>
      <c r="G2009" t="inlineStr">
        <is>
          <t>AGÊNCIA BRASIL*</t>
        </is>
      </c>
      <c r="H2009" t="inlineStr">
        <is>
          <t>VENEZUELANOS ENFRENTAM LONGAS CAMINHADAS E CORREM CONTRA O TEMPO PARA OBTER REFÚGIO</t>
        </is>
      </c>
      <c r="I2009" t="inlineStr">
        <is>
          <t>A PARTIR DE SÁBADO (25), ALGUNS PAÍSES COMO PERU E EQUADOR PASSARÃO A EXIGIR PASSAPORTE – E NÃO APENAS CARTEIRA DE IDENTIDADE – PARA PERMITIR A ENTRADA DOS IMIGRANTES</t>
        </is>
      </c>
      <c r="J2009">
        <f>HYPERLINK("https://www.acritica.com/venezuelanos-enfrentam-longas-caminhadas-e-correm-contra-o-tempo-para-obter-refugio-1.195823", "URL")</f>
        <v/>
      </c>
      <c r="K2009">
        <f>HYPERLINK("https://raw.githubusercontent.com/marcosmapl/dataset_imigrantes/main/noticias_filtered/a_critica/venezuelanos/2018/07_ago/html/1.195823_125.html", "HTML")</f>
        <v/>
      </c>
      <c r="L2009">
        <f>HYPERLINK("https://raw.githubusercontent.com/marcosmapl/dataset_imigrantes/main/noticias_filtered/a_critica/venezuelanos/2018/07_ago/txt/1.195823_125.txt", "TXT")</f>
        <v/>
      </c>
    </row>
    <row r="2010">
      <c r="A2010" s="1" t="n">
        <v>2008</v>
      </c>
      <c r="B2010" t="n">
        <v>2018</v>
      </c>
      <c r="C2010" s="2" t="n">
        <v>43335.94847222222</v>
      </c>
      <c r="D2010" t="inlineStr">
        <is>
          <t>A CRITICA</t>
        </is>
      </c>
      <c r="E2010" t="inlineStr">
        <is>
          <t>VENEZUELANOS</t>
        </is>
      </c>
      <c r="F2010" t="inlineStr"/>
      <c r="G2010" t="inlineStr">
        <is>
          <t>POR DÉBORA BRITO - AGÊNCIA BRASIL</t>
        </is>
      </c>
      <c r="H2010" t="inlineStr">
        <is>
          <t>MINISTRO JUNGMANN NEGA OMISSÃO EM RELAÇÃO A VENEZUELANOS EM RORAIMA</t>
        </is>
      </c>
      <c r="I2010" t="inlineStr">
        <is>
          <t>QUESTIONADO SE O GOVERNO NÃO TERIA SIDO OMISSO EM DEIXAR MAIS DE MIL IMIGRANTES SEM ASSISTÊNCIA NAS RUAS DE PACARAIMA, JUNGMANN REBATEU QUE A RESPONSÁVEL PELOS CONFLITOS É A PRÓPRIA CRISE NO PAÍS VIZINHO</t>
        </is>
      </c>
      <c r="J2010">
        <f>HYPERLINK("https://www.acritica.com/ministro-jungmann-nega-omiss-o-em-relac-o-a-venezuelanos-em-roraima-1.195861", "URL")</f>
        <v/>
      </c>
      <c r="K2010">
        <f>HYPERLINK("https://raw.githubusercontent.com/marcosmapl/dataset_imigrantes/main/noticias_filtered/a_critica/venezuelanos/2018/07_ago/html/1.195861_1130.html", "HTML")</f>
        <v/>
      </c>
      <c r="L2010">
        <f>HYPERLINK("https://raw.githubusercontent.com/marcosmapl/dataset_imigrantes/main/noticias_filtered/a_critica/venezuelanos/2018/07_ago/txt/1.195861_1130.txt", "TXT")</f>
        <v/>
      </c>
    </row>
    <row r="2011">
      <c r="A2011" s="1" t="n">
        <v>2009</v>
      </c>
      <c r="B2011" t="n">
        <v>2018</v>
      </c>
      <c r="C2011" s="2" t="n">
        <v>43335.84930555556</v>
      </c>
      <c r="D2011" t="inlineStr">
        <is>
          <t>PORTAL AMAZONIA</t>
        </is>
      </c>
      <c r="E2011" t="inlineStr">
        <is>
          <t>VENEZUELANOS</t>
        </is>
      </c>
      <c r="F2011" t="inlineStr">
        <is>
          <t>CIDADES</t>
        </is>
      </c>
      <c r="G2011" t="inlineStr">
        <is>
          <t>REDAÇÃO</t>
        </is>
      </c>
      <c r="H2011" t="inlineStr">
        <is>
          <t>MINISTÉRIO DESCARTA LIBERAÇÃO DE RECURSOS PARA RORAIMA</t>
        </is>
      </c>
      <c r="I2011" t="inlineStr">
        <is>
          <t>FOTO:REPRODUÇÃO/PORTAL BRASILEM VISITA A PACARAIMA, MUNICÍPIO DE FRONTEIRA QUE TEM RECEBIDO CENTENAS DE IMIGRANTES VENEZUELANOS, O MINISTRO DA SEGURANÇA PÚBLICA, RAUL JUNGMANN, AFIRMOU QUE, NO MOMENTO, NÃO HÁ POSSIBILIDADE DE LIBE</t>
        </is>
      </c>
      <c r="J2011">
        <f>HYPERLINK("https://portalamazonia.com/noticias/cidades/ministerio-descarta-liberacao-de-recursos-para-roraima", "URL")</f>
        <v/>
      </c>
      <c r="K2011">
        <f>HYPERLINK("https://raw.githubusercontent.com/marcosmapl/dataset_imigrantes/main/noticias_filtered/portal_amazonia/venezuelanos/2018/07_ago/html/15527.15527_1455.html", "HTML")</f>
        <v/>
      </c>
      <c r="L2011">
        <f>HYPERLINK("https://raw.githubusercontent.com/marcosmapl/dataset_imigrantes/main/noticias_filtered/portal_amazonia/venezuelanos/2018/07_ago/txt/15527.15527_1455.txt", "TXT")</f>
        <v/>
      </c>
    </row>
    <row r="2012">
      <c r="A2012" s="1" t="n">
        <v>2010</v>
      </c>
      <c r="B2012" t="n">
        <v>2018</v>
      </c>
      <c r="C2012" s="2" t="n">
        <v>43335.76246527778</v>
      </c>
      <c r="D2012" t="inlineStr">
        <is>
          <t>A CRITICA</t>
        </is>
      </c>
      <c r="E2012" t="inlineStr">
        <is>
          <t>VENEZUELANOS</t>
        </is>
      </c>
      <c r="F2012" t="inlineStr"/>
      <c r="G2012" t="inlineStr">
        <is>
          <t>AGÊNCIA EFE</t>
        </is>
      </c>
      <c r="H2012" t="inlineStr">
        <is>
          <t>PERU ESPERA CHEGADA DE 20 MIL IMIGRANTES VENEZUELANOS NAS PRÓXIMAS 48 HORAS</t>
        </is>
      </c>
      <c r="I2012" t="inlineStr">
        <is>
          <t>A PARTIR DA MEIA-NOITE DE SÁBADO (25), O GOVERNO PERUANO IMPEDIRÁ A ENTRADA DE VENEZUELANOS QUE NÃO ESTEJAM DE POSSE DO PASSAPORTE</t>
        </is>
      </c>
      <c r="J2012">
        <f>HYPERLINK("https://www.acritica.com/peru-espera-chegada-de-20-mil-imigrantes-venezuelanos-nas-proximas-48-horas-1.195678", "URL")</f>
        <v/>
      </c>
      <c r="K2012">
        <f>HYPERLINK("https://raw.githubusercontent.com/marcosmapl/dataset_imigrantes/main/noticias_filtered/a_critica/venezuelanos/2018/07_ago/html/1.195678_460.html", "HTML")</f>
        <v/>
      </c>
      <c r="L2012">
        <f>HYPERLINK("https://raw.githubusercontent.com/marcosmapl/dataset_imigrantes/main/noticias_filtered/a_critica/venezuelanos/2018/07_ago/txt/1.195678_460.txt", "TXT")</f>
        <v/>
      </c>
    </row>
    <row r="2013">
      <c r="A2013" s="1" t="n">
        <v>2011</v>
      </c>
      <c r="B2013" t="n">
        <v>2018</v>
      </c>
      <c r="C2013" s="2" t="n">
        <v>43335.52569444444</v>
      </c>
      <c r="D2013" t="inlineStr">
        <is>
          <t>A CRITICA</t>
        </is>
      </c>
      <c r="E2013" t="inlineStr">
        <is>
          <t>VENEZUELANOS</t>
        </is>
      </c>
      <c r="F2013" t="inlineStr"/>
      <c r="G2013" t="inlineStr">
        <is>
          <t>PAULA LABOISSIÈRE (AGÊNCIA BRASIL)</t>
        </is>
      </c>
      <c r="H2013" t="inlineStr">
        <is>
          <t>ONU PEDE APOIO INTERNACIONAL A PAÍSES QUE RECEBEM IMIGRANTES VENEZUELANOS</t>
        </is>
      </c>
      <c r="I2013" t="inlineStr">
        <is>
          <t>ENTIDADES ESTIMAM QUE 2,3 MILHÕES DE VENEZUELANOS VIVAM FORA DO PAÍS ATUALMENTE, SENDO QUE MAIS DE 1,6 MILHÃO DEIXARAM A VENEZUELA DESDE 2015</t>
        </is>
      </c>
      <c r="J2013">
        <f>HYPERLINK("https://www.acritica.com/onu-pede-apoio-internacional-a-paises-que-recebem-imigrantes-venezuelanos-1.195754", "URL")</f>
        <v/>
      </c>
      <c r="K2013">
        <f>HYPERLINK("https://raw.githubusercontent.com/marcosmapl/dataset_imigrantes/main/noticias_filtered/a_critica/venezuelanos/2018/07_ago/html/1.195754_1009.html", "HTML")</f>
        <v/>
      </c>
      <c r="L2013">
        <f>HYPERLINK("https://raw.githubusercontent.com/marcosmapl/dataset_imigrantes/main/noticias_filtered/a_critica/venezuelanos/2018/07_ago/txt/1.195754_1009.txt", "TXT")</f>
        <v/>
      </c>
    </row>
    <row r="2014">
      <c r="A2014" s="1" t="n">
        <v>2012</v>
      </c>
      <c r="B2014" t="n">
        <v>2018</v>
      </c>
      <c r="C2014" s="2" t="n">
        <v>43335.51534778935</v>
      </c>
      <c r="D2014" t="inlineStr">
        <is>
          <t>G1</t>
        </is>
      </c>
      <c r="E2014" t="inlineStr">
        <is>
          <t>VENEZUELANOS</t>
        </is>
      </c>
      <c r="F2014" t="inlineStr">
        <is>
          <t>MUNDO</t>
        </is>
      </c>
      <c r="G2014" t="inlineStr">
        <is>
          <t>BBC</t>
        </is>
      </c>
      <c r="H2014" t="inlineStr">
        <is>
          <t>A PONTE QUE SIMBOLIZA O DESESPERO DO ÊXODO VENEZUELANO</t>
        </is>
      </c>
      <c r="I2014" t="inlineStr">
        <is>
          <t>CRISE NA VENEZUELA TEM PROVOCADO UMA DAS MAIORES MIGRAÇÕES EM MASSA DA HISTÓRIA DO CONTINENTE; PONTE NA FRONTEIRA COM COLÔMBIA SE TORNOU SÍMBOLO DO ÊXODO DE PESSOAS EM BUSCA DE TRABALHO, COMIDA E ATENDIMENTO MÉDICO.</t>
        </is>
      </c>
      <c r="J2014">
        <f>HYPERLINK("https://g1.globo.com/mundo/noticia/2018/08/23/a-ponte-que-simboliza-o-desespero-do-exodo-venezuelano.ghtml", "URL")</f>
        <v/>
      </c>
      <c r="K2014">
        <f>HYPERLINK("https://raw.githubusercontent.com/marcosmapl/dataset_imigrantes/main/noticias_filtered/g1/venezuelanos/2018/07_ago/html/g1_e64b12b4-232c-11ed-b24f-6dbe51e79fca_4333.html", "HTML")</f>
        <v/>
      </c>
      <c r="L2014">
        <f>HYPERLINK("https://raw.githubusercontent.com/marcosmapl/dataset_imigrantes/main/noticias_filtered/g1/venezuelanos/2018/07_ago/txt/g1_e64b12b4-232c-11ed-b24f-6dbe51e79fca_4333.txt", "TXT")</f>
        <v/>
      </c>
    </row>
    <row r="2015">
      <c r="A2015" s="1" t="n">
        <v>2013</v>
      </c>
      <c r="B2015" t="n">
        <v>2018</v>
      </c>
      <c r="C2015" s="2" t="n">
        <v>43335.51180555556</v>
      </c>
      <c r="D2015" t="inlineStr">
        <is>
          <t>PORTAL AMAZONIA</t>
        </is>
      </c>
      <c r="E2015" t="inlineStr">
        <is>
          <t>VENEZUELANOS</t>
        </is>
      </c>
      <c r="F2015" t="inlineStr">
        <is>
          <t>CIDADES</t>
        </is>
      </c>
      <c r="G2015" t="inlineStr">
        <is>
          <t>REDAÇÃO</t>
        </is>
      </c>
      <c r="H2015" t="inlineStr">
        <is>
          <t>APÓS CONFLITOS EM PACARAIMA, RUAS E COMÉRCIO ESTÃO VAZIOS</t>
        </is>
      </c>
      <c r="I2015" t="inlineStr">
        <is>
          <t>APÓS OS CONFLITOS DO ÚLTIMO SÁBADO (18) EM PACARAIMA (RR), EM QUE VENEZUELANOS FORAM ATACADOS, TIVERAM BARRACAS E PERTENCES QUEIMADOS POR MORADORES, CAIU O MOVIMENTO DE IMIGRANTES NA FRONTEIRA ENTRE RORAIMA E SANTA ELENA DE UAIREN, NA VENEZUELA.</t>
        </is>
      </c>
      <c r="J2015">
        <f>HYPERLINK("https://portalamazonia.com/noticias/cidades/apos-conflitos-em-pacaraima-ruas-e-comercio-estao-vazios", "URL")</f>
        <v/>
      </c>
      <c r="K2015">
        <f>HYPERLINK("https://raw.githubusercontent.com/marcosmapl/dataset_imigrantes/main/noticias_filtered/portal_amazonia/venezuelanos/2018/07_ago/html/15520.15520_1421.html", "HTML")</f>
        <v/>
      </c>
      <c r="L2015">
        <f>HYPERLINK("https://raw.githubusercontent.com/marcosmapl/dataset_imigrantes/main/noticias_filtered/portal_amazonia/venezuelanos/2018/07_ago/txt/15520.15520_1421.txt", "TXT")</f>
        <v/>
      </c>
    </row>
    <row r="2016">
      <c r="A2016" s="1" t="n">
        <v>2014</v>
      </c>
      <c r="B2016" t="n">
        <v>2018</v>
      </c>
      <c r="C2016" s="2" t="n">
        <v>43335.4353125</v>
      </c>
      <c r="D2016" t="inlineStr">
        <is>
          <t>A CRITICA</t>
        </is>
      </c>
      <c r="E2016" t="inlineStr">
        <is>
          <t>VENEZUELANOS</t>
        </is>
      </c>
      <c r="F2016" t="inlineStr"/>
      <c r="G2016" t="inlineStr"/>
      <c r="H2016" t="inlineStr">
        <is>
          <t>AMAZONAS COMANDA A FORÇA-TAREFA</t>
        </is>
      </c>
      <c r="I2016" t="inlineStr"/>
      <c r="J2016">
        <f>HYPERLINK("https://www.acritica.com/amazonas-comanda-a-forca-tarefa-1.230789", "URL")</f>
        <v/>
      </c>
      <c r="K2016">
        <f>HYPERLINK("https://raw.githubusercontent.com/marcosmapl/dataset_imigrantes/main/noticias_filtered/a_critica/venezuelanos/2018/07_ago/html/1.230789_656.html", "HTML")</f>
        <v/>
      </c>
      <c r="L2016">
        <f>HYPERLINK("https://raw.githubusercontent.com/marcosmapl/dataset_imigrantes/main/noticias_filtered/a_critica/venezuelanos/2018/07_ago/txt/1.230789_656.txt", "TXT")</f>
        <v/>
      </c>
    </row>
    <row r="2017">
      <c r="A2017" s="1" t="n">
        <v>2015</v>
      </c>
      <c r="B2017" t="n">
        <v>2018</v>
      </c>
      <c r="C2017" s="2" t="n">
        <v>43334.84591615741</v>
      </c>
      <c r="D2017" t="inlineStr">
        <is>
          <t>G1</t>
        </is>
      </c>
      <c r="E2017" t="inlineStr">
        <is>
          <t>VENEZUELANOS</t>
        </is>
      </c>
      <c r="F2017" t="inlineStr">
        <is>
          <t>RORAIMA</t>
        </is>
      </c>
      <c r="G2017" t="inlineStr">
        <is>
          <t>EMILY COSTA E ALAN CHAVES*, G1 RR — BOA VISTA</t>
        </is>
      </c>
      <c r="H2017" t="inlineStr">
        <is>
          <t>CRIANÇAS VENEZUELANAS BUSCAM COMIDA NO LIXO NA FRONTEIRA DO BRASIL EM MEIO À TENSÃO APÓS ATAQUES</t>
        </is>
      </c>
      <c r="I2017" t="inlineStr">
        <is>
          <t>CRIANÇAS REVIRAM LIXO E PEDEM COMIDA NAS RUAS DE PACARAIMA, NA FRONTEIRA COM A VENEZUELA. NO ÚLTIMO SÁBADO (18), MORADORES SE REVOLTARAM COM ASSALTO E AGRESSÃO DE BRASILEIRO E EXPULSARAM VENEZUELANOS DAS RUAS: ‘TEMOS ROTINA DE INSEGURANÇA E PRECISAMOS DE AJUDA’, DIZ PREFEITO.</t>
        </is>
      </c>
      <c r="J2017">
        <f>HYPERLINK("https://g1.globo.com/rr/roraima/noticia/2018/08/22/criancas-venezuelanas-buscam-comida-no-lixo-na-fronteira-do-brasil-em-meio-a-tensao-apos-ataques.ghtml", "URL")</f>
        <v/>
      </c>
      <c r="K2017">
        <f>HYPERLINK("https://raw.githubusercontent.com/marcosmapl/dataset_imigrantes/main/noticias_filtered/g1/venezuelanos/2018/07_ago/html/g1_7f38d976-231d-11ed-b24f-6dbe51e79fca_3504.html", "HTML")</f>
        <v/>
      </c>
      <c r="L2017">
        <f>HYPERLINK("https://raw.githubusercontent.com/marcosmapl/dataset_imigrantes/main/noticias_filtered/g1/venezuelanos/2018/07_ago/txt/g1_7f38d976-231d-11ed-b24f-6dbe51e79fca_3504.txt", "TXT")</f>
        <v/>
      </c>
    </row>
    <row r="2018">
      <c r="A2018" s="1" t="n">
        <v>2016</v>
      </c>
      <c r="B2018" t="n">
        <v>2018</v>
      </c>
      <c r="C2018" s="2" t="n">
        <v>43334.74166666667</v>
      </c>
      <c r="D2018" t="inlineStr">
        <is>
          <t>A CRITICA</t>
        </is>
      </c>
      <c r="E2018" t="inlineStr">
        <is>
          <t>VENEZUELANOS</t>
        </is>
      </c>
      <c r="F2018" t="inlineStr"/>
      <c r="G2018" t="inlineStr">
        <is>
          <t>AFP</t>
        </is>
      </c>
      <c r="H2018" t="inlineStr">
        <is>
          <t>MIL  VENEZUELANOS SERÃO DISTRIBUÍDOS PELO BRASIL APÓS CRISE NA FRONTEIRA</t>
        </is>
      </c>
      <c r="I2018" t="inlineStr">
        <is>
          <t>EM RORAIMA, REPRESENTANTE DA CASA CIVIL, EXPLICOU QUE O 'PROCESSO DE INTERIORIZAÇÃO' DOS IMIGRANTES VENEZUELANOS COMEÇARÁ NO FINAL DE AGOSTO, SEM PRECISAR AS CIDADES DE DESTINO.</t>
        </is>
      </c>
      <c r="J2018">
        <f>HYPERLINK("https://www.acritica.com/mil-venezuelanos-ser-o-distribuidos-pelo-brasil-apos-crise-na-fronteira-1.194779", "URL")</f>
        <v/>
      </c>
      <c r="K2018">
        <f>HYPERLINK("https://raw.githubusercontent.com/marcosmapl/dataset_imigrantes/main/noticias_filtered/a_critica/venezuelanos/2018/07_ago/html/1.194779_245.html", "HTML")</f>
        <v/>
      </c>
      <c r="L2018">
        <f>HYPERLINK("https://raw.githubusercontent.com/marcosmapl/dataset_imigrantes/main/noticias_filtered/a_critica/venezuelanos/2018/07_ago/txt/1.194779_245.txt", "TXT")</f>
        <v/>
      </c>
    </row>
    <row r="2019">
      <c r="A2019" s="1" t="n">
        <v>2017</v>
      </c>
      <c r="B2019" t="n">
        <v>2018</v>
      </c>
      <c r="C2019" s="2" t="n">
        <v>43334.58670138889</v>
      </c>
      <c r="D2019" t="inlineStr">
        <is>
          <t>A CRITICA</t>
        </is>
      </c>
      <c r="E2019" t="inlineStr">
        <is>
          <t>VENEZUELANOS</t>
        </is>
      </c>
      <c r="F2019" t="inlineStr"/>
      <c r="G2019" t="inlineStr">
        <is>
          <t>LEANDRO MELITO (AGÊNCIA BRASIL)</t>
        </is>
      </c>
      <c r="H2019" t="inlineStr">
        <is>
          <t>ESCOLAS DE PACARAIMA FICAM SUPERLOTADAS COM AUMENTO DO FLUXO DE VENEZUELANOS</t>
        </is>
      </c>
      <c r="I2019" t="inlineStr">
        <is>
          <t>SECRETARIA DE EDUCAÇÃO DIZ QUE PEDIU AJUDA AO MEC EM MARÇO. EM 2017, O NÚMERO DE ALUNOS NA CIDADE FOI DE 1.338. ESTE ANO, CHEGOU A 2.030</t>
        </is>
      </c>
      <c r="J2019">
        <f>HYPERLINK("https://www.acritica.com/escolas-de-pacaraima-ficam-superlotadas-com-aumento-do-fluxo-de-venezuelanos-1.194827", "URL")</f>
        <v/>
      </c>
      <c r="K2019">
        <f>HYPERLINK("https://raw.githubusercontent.com/marcosmapl/dataset_imigrantes/main/noticias_filtered/a_critica/venezuelanos/2018/07_ago/html/1.194827_930.html", "HTML")</f>
        <v/>
      </c>
      <c r="L2019">
        <f>HYPERLINK("https://raw.githubusercontent.com/marcosmapl/dataset_imigrantes/main/noticias_filtered/a_critica/venezuelanos/2018/07_ago/txt/1.194827_930.txt", "TXT")</f>
        <v/>
      </c>
    </row>
    <row r="2020">
      <c r="A2020" s="1" t="n">
        <v>2018</v>
      </c>
      <c r="B2020" t="n">
        <v>2018</v>
      </c>
      <c r="C2020" s="2" t="n">
        <v>43334.55555555555</v>
      </c>
      <c r="D2020" t="inlineStr">
        <is>
          <t>A CRITICA</t>
        </is>
      </c>
      <c r="E2020" t="inlineStr">
        <is>
          <t>VENEZUELANOS</t>
        </is>
      </c>
      <c r="F2020" t="inlineStr"/>
      <c r="G2020" t="inlineStr">
        <is>
          <t>ACRÍTICA.COM</t>
        </is>
      </c>
      <c r="H2020" t="inlineStr">
        <is>
          <t>NOVO TERREMOTO DE MAGNITUDE 5,8 É REGISTRADO NA VENEZUELA</t>
        </is>
      </c>
      <c r="I2020" t="inlineStr">
        <is>
          <t>ONTEM, UM TERREMOTO MAIOR, DE 7,3 NA ESCALA RICHTER, REGISTRADO ÀS 17H31, FOI SENTIDO EM REGIÕES ALTAS DE MANAUS</t>
        </is>
      </c>
      <c r="J2020">
        <f>HYPERLINK("https://www.acritica.com/novo-terremoto-de-magnitude-5-8-e-registrado-na-venezuela-1.194839", "URL")</f>
        <v/>
      </c>
      <c r="K2020">
        <f>HYPERLINK("https://raw.githubusercontent.com/marcosmapl/dataset_imigrantes/main/noticias_filtered/a_critica/venezuelanos/2018/07_ago/html/1.194839_1180.html", "HTML")</f>
        <v/>
      </c>
      <c r="L2020">
        <f>HYPERLINK("https://raw.githubusercontent.com/marcosmapl/dataset_imigrantes/main/noticias_filtered/a_critica/venezuelanos/2018/07_ago/txt/1.194839_1180.txt", "TXT")</f>
        <v/>
      </c>
    </row>
    <row r="2021">
      <c r="A2021" s="1" t="n">
        <v>2019</v>
      </c>
      <c r="B2021" t="n">
        <v>2018</v>
      </c>
      <c r="C2021" s="2" t="n">
        <v>43334.49166666667</v>
      </c>
      <c r="D2021" t="inlineStr">
        <is>
          <t>PORTAL AMAZONIA</t>
        </is>
      </c>
      <c r="E2021" t="inlineStr">
        <is>
          <t>VENEZUELANOS</t>
        </is>
      </c>
      <c r="F2021" t="inlineStr">
        <is>
          <t>CIDADES</t>
        </is>
      </c>
      <c r="G2021" t="inlineStr">
        <is>
          <t>REDAÇÃO</t>
        </is>
      </c>
      <c r="H2021" t="inlineStr">
        <is>
          <t>VENEZUELANOS SUPERLOTAM ESCOLAS DE PACARAIMA; PREFEITURA PEDE AJUDA DO MEC</t>
        </is>
      </c>
      <c r="I2021" t="inlineStr">
        <is>
          <t>COM O AUMENTO DO FLUXO DE IMIGRANTES VENEZUELANOS ESTE ANO PARA O BRASIL, O MUNICÍPIO DE PACARAIMA (RR), QUE FAZ FRONTEIRA COM O PAÍS VIZINHO, PASSOU A ENFRENTAR O PROBLEMA DA SUPERLOTAÇÃO NAS SALAS DE AULA. O SISTEMA DE EDUCAÇÃO PÚBLICA DO MUNICÍPIO</t>
        </is>
      </c>
      <c r="J2021">
        <f>HYPERLINK("https://portalamazonia.com/noticias/cidades/venezuelanos-superlotam-escolas-de-pacaraima-prefeitura-pede-ajuda-do-mec", "URL")</f>
        <v/>
      </c>
      <c r="K2021">
        <f>HYPERLINK("https://raw.githubusercontent.com/marcosmapl/dataset_imigrantes/main/noticias_filtered/portal_amazonia/venezuelanos/2018/07_ago/html/15509.15509_1594.html", "HTML")</f>
        <v/>
      </c>
      <c r="L2021">
        <f>HYPERLINK("https://raw.githubusercontent.com/marcosmapl/dataset_imigrantes/main/noticias_filtered/portal_amazonia/venezuelanos/2018/07_ago/txt/15509.15509_1594.txt", "TXT")</f>
        <v/>
      </c>
    </row>
    <row r="2022">
      <c r="A2022" s="1" t="n">
        <v>2020</v>
      </c>
      <c r="B2022" t="n">
        <v>2018</v>
      </c>
      <c r="C2022" s="2" t="n">
        <v>43334.43575699074</v>
      </c>
      <c r="D2022" t="inlineStr">
        <is>
          <t>G1</t>
        </is>
      </c>
      <c r="E2022" t="inlineStr">
        <is>
          <t>VENEZUELANOS</t>
        </is>
      </c>
      <c r="F2022" t="inlineStr">
        <is>
          <t>MUNDO</t>
        </is>
      </c>
      <c r="G2022" t="inlineStr">
        <is>
          <t>FRANCE PRESSE</t>
        </is>
      </c>
      <c r="H2022" t="inlineStr">
        <is>
          <t>PARLAMENTO VENEZUELANO RESPALDA SENTENÇA DE TRIBUNAL NO EXÍLIO CONTRA MADURO</t>
        </is>
      </c>
      <c r="I2022" t="inlineStr">
        <is>
          <t>TRIBUNAL SUPREMO DE JUSTIÇA NO EXÍLIO CONDENOU SIMBOLICAMENTE O PRESIDENTE VENEZUELANO POR CORRUPÇÃO APÓS O ESCÂNDALO DA EMPREITEIRA BRASILEIRA ODEBRECHT.</t>
        </is>
      </c>
      <c r="J2022">
        <f>HYPERLINK("https://g1.globo.com/mundo/noticia/2018/08/22/parlamento-venezuelano-respalda-sentenca-de-tribunal-no-exilio-contra-maduro.ghtml", "URL")</f>
        <v/>
      </c>
      <c r="K2022">
        <f>HYPERLINK("https://raw.githubusercontent.com/marcosmapl/dataset_imigrantes/main/noticias_filtered/g1/venezuelanos/2018/07_ago/html/g1_67c51b56-2322-11ed-b24f-6dbe51e79fca_3751.html", "HTML")</f>
        <v/>
      </c>
      <c r="L2022">
        <f>HYPERLINK("https://raw.githubusercontent.com/marcosmapl/dataset_imigrantes/main/noticias_filtered/g1/venezuelanos/2018/07_ago/txt/g1_67c51b56-2322-11ed-b24f-6dbe51e79fca_3751.txt", "TXT")</f>
        <v/>
      </c>
    </row>
    <row r="2023">
      <c r="A2023" s="1" t="n">
        <v>2021</v>
      </c>
      <c r="B2023" t="n">
        <v>2018</v>
      </c>
      <c r="C2023" s="2" t="n">
        <v>43334.42094907408</v>
      </c>
      <c r="D2023" t="inlineStr">
        <is>
          <t>A CRITICA</t>
        </is>
      </c>
      <c r="E2023" t="inlineStr">
        <is>
          <t>VENEZUELANOS</t>
        </is>
      </c>
      <c r="F2023" t="inlineStr"/>
      <c r="G2023" t="inlineStr"/>
      <c r="H2023" t="inlineStr">
        <is>
          <t>QUASE 50% TÊM ENSINO SUPERIOR</t>
        </is>
      </c>
      <c r="I2023" t="inlineStr"/>
      <c r="J2023">
        <f>HYPERLINK("https://www.acritica.com/quase-50-tem-ensino-superior-1.230800", "URL")</f>
        <v/>
      </c>
      <c r="K2023">
        <f>HYPERLINK("https://raw.githubusercontent.com/marcosmapl/dataset_imigrantes/main/noticias_filtered/a_critica/venezuelanos/2018/07_ago/html/1.230800_866.html", "HTML")</f>
        <v/>
      </c>
      <c r="L2023">
        <f>HYPERLINK("https://raw.githubusercontent.com/marcosmapl/dataset_imigrantes/main/noticias_filtered/a_critica/venezuelanos/2018/07_ago/txt/1.230800_866.txt", "TXT")</f>
        <v/>
      </c>
    </row>
    <row r="2024">
      <c r="A2024" s="1" t="n">
        <v>2022</v>
      </c>
      <c r="B2024" t="n">
        <v>2018</v>
      </c>
      <c r="C2024" s="2" t="n">
        <v>43334.03900462963</v>
      </c>
      <c r="D2024" t="inlineStr">
        <is>
          <t>A CRITICA</t>
        </is>
      </c>
      <c r="E2024" t="inlineStr">
        <is>
          <t>VENEZUELANOS</t>
        </is>
      </c>
      <c r="F2024" t="inlineStr">
        <is>
          <t>MANAUS</t>
        </is>
      </c>
      <c r="G2024" t="inlineStr">
        <is>
          <t>ACRITICA.COM*</t>
        </is>
      </c>
      <c r="H2024" t="inlineStr">
        <is>
          <t>EFEITOS DO TERREMOTO NA VENEZUELA NÃO TRAZEM RISCOS AOS PRÉDIOS DE MANAUS</t>
        </is>
      </c>
      <c r="I2024" t="inlineStr">
        <is>
          <t>O PESQUISADOR DO SERVIÇO GEOLÓGICO DO BRASIL, MARCO ANTONIO OLIVEIRA, EXPLICOU PORQUE A CAPITAL AMAZONENSE SENTIU IMPACTOS DO TERREMOTO NO PAÍS VIZINHO</t>
        </is>
      </c>
      <c r="J2024">
        <f>HYPERLINK("https://www.acritica.com/manaus/efeitos-do-terremoto-na-venezuela-n-o-trazem-riscos-aos-predios-de-manaus-1.194857", "URL")</f>
        <v/>
      </c>
      <c r="K2024">
        <f>HYPERLINK("https://raw.githubusercontent.com/marcosmapl/dataset_imigrantes/main/noticias_filtered/a_critica/venezuelanos/2018/07_ago/html/1.194857_286.html", "HTML")</f>
        <v/>
      </c>
      <c r="L2024">
        <f>HYPERLINK("https://raw.githubusercontent.com/marcosmapl/dataset_imigrantes/main/noticias_filtered/a_critica/venezuelanos/2018/07_ago/txt/1.194857_286.txt", "TXT")</f>
        <v/>
      </c>
    </row>
    <row r="2025">
      <c r="A2025" s="1" t="n">
        <v>2023</v>
      </c>
      <c r="B2025" t="n">
        <v>2018</v>
      </c>
      <c r="C2025" s="2" t="n">
        <v>43333.96111111111</v>
      </c>
      <c r="D2025" t="inlineStr">
        <is>
          <t>A CRITICA</t>
        </is>
      </c>
      <c r="E2025" t="inlineStr">
        <is>
          <t>VENEZUELANOS</t>
        </is>
      </c>
      <c r="F2025" t="inlineStr">
        <is>
          <t>MANAUS</t>
        </is>
      </c>
      <c r="G2025" t="inlineStr">
        <is>
          <t>RAFAEL SEIXAS</t>
        </is>
      </c>
      <c r="H2025" t="inlineStr">
        <is>
          <t>‘FOI A PIOR COISA QUE SENTI NA VIDA’, DIZ AMAZONENSE SOBRE TERREMOTO NA VENEZUELA</t>
        </is>
      </c>
      <c r="I2025" t="inlineStr">
        <is>
          <t>LUCIANA VIEIRA, 39, ESTAVA EM UM SHOPPING NO PAÍS VIZINHO COM A SUA FILHA E AMIGAS, QUANDO SENTIU O FORTE TREMOR</t>
        </is>
      </c>
      <c r="J2025">
        <f>HYPERLINK("https://www.acritica.com/manaus/foi-a-pior-coisa-que-senti-na-vida-diz-amazonense-sobre-terremoto-na-venezuela-1.194869", "URL")</f>
        <v/>
      </c>
      <c r="K2025">
        <f>HYPERLINK("https://raw.githubusercontent.com/marcosmapl/dataset_imigrantes/main/noticias_filtered/a_critica/venezuelanos/2018/07_ago/html/1.194869_435.html", "HTML")</f>
        <v/>
      </c>
      <c r="L2025">
        <f>HYPERLINK("https://raw.githubusercontent.com/marcosmapl/dataset_imigrantes/main/noticias_filtered/a_critica/venezuelanos/2018/07_ago/txt/1.194869_435.txt", "TXT")</f>
        <v/>
      </c>
    </row>
    <row r="2026">
      <c r="A2026" s="1" t="n">
        <v>2024</v>
      </c>
      <c r="B2026" t="n">
        <v>2018</v>
      </c>
      <c r="C2026" s="2" t="n">
        <v>43333.90833333333</v>
      </c>
      <c r="D2026" t="inlineStr">
        <is>
          <t>PORTAL AMAZONIA</t>
        </is>
      </c>
      <c r="E2026" t="inlineStr">
        <is>
          <t>VENEZUELANOS</t>
        </is>
      </c>
      <c r="F2026" t="inlineStr">
        <is>
          <t>CIDADES</t>
        </is>
      </c>
      <c r="G2026" t="inlineStr">
        <is>
          <t>REDAÇÃO</t>
        </is>
      </c>
      <c r="H2026" t="inlineStr">
        <is>
          <t>MANAUS SENTE REFLEXOS DE TERREMOTO NA VENEZUELA; PRÉDIOS SÃO EVACUADOS</t>
        </is>
      </c>
      <c r="I2026" t="inlineStr">
        <is>
          <t>MORADORES DA CIDADE DE MANAUS RELATARAM TER SENTIDO UM TREMOR DE TERRA NA TARDE DESTA TERÇA-FEIRA (21). PRÉDIOS COMERCIAIS E REPARTIÇÕES PÚBLICAS DA CIDADE TIVERAM QUE SER EVACUADOS POR QUESTÕES DE SEGURANÇA.DE ACORDO COM DADOS DO SERVIÇO G</t>
        </is>
      </c>
      <c r="J2026">
        <f>HYPERLINK("https://portalamazonia.com/noticias/cidades/manaus-sente-reflexos-de-terremoto-na-venezuela-predios-sao-evacuados", "URL")</f>
        <v/>
      </c>
      <c r="K2026">
        <f>HYPERLINK("https://raw.githubusercontent.com/marcosmapl/dataset_imigrantes/main/noticias_filtered/portal_amazonia/venezuelanos/2018/07_ago/html/15507.15507_1438.html", "HTML")</f>
        <v/>
      </c>
      <c r="L2026">
        <f>HYPERLINK("https://raw.githubusercontent.com/marcosmapl/dataset_imigrantes/main/noticias_filtered/portal_amazonia/venezuelanos/2018/07_ago/txt/15507.15507_1438.txt", "TXT")</f>
        <v/>
      </c>
    </row>
    <row r="2027">
      <c r="A2027" s="1" t="n">
        <v>2025</v>
      </c>
      <c r="B2027" t="n">
        <v>2018</v>
      </c>
      <c r="C2027" s="2" t="n">
        <v>43333.87777777778</v>
      </c>
      <c r="D2027" t="inlineStr">
        <is>
          <t>A CRITICA</t>
        </is>
      </c>
      <c r="E2027" t="inlineStr">
        <is>
          <t>VENEZUELANOS</t>
        </is>
      </c>
      <c r="F2027" t="inlineStr">
        <is>
          <t>MANAUS</t>
        </is>
      </c>
      <c r="G2027" t="inlineStr">
        <is>
          <t>ACRÍTICA.COM</t>
        </is>
      </c>
      <c r="H2027" t="inlineStr">
        <is>
          <t>FORTE TERREMOTO NA VENEZUELA CAUSA TREMOR EM PRÉDIOS DE MANAUS</t>
        </is>
      </c>
      <c r="I2027" t="inlineStr">
        <is>
          <t>PRÉDIOS COMO THE OFFICE E ATLANTIC TOWER FORAM EVACUADOS. TREMOR NO ESTADO VENEZUELANO DE SUCRE FOI SENTIDO EM DIVERSAS ÁREAS DA CAPITAL AMAZONENSE</t>
        </is>
      </c>
      <c r="J2027">
        <f>HYPERLINK("https://www.acritica.com/manaus/forte-terremoto-na-venezuela-causa-tremor-em-predios-de-manaus-1.194626", "URL")</f>
        <v/>
      </c>
      <c r="K2027">
        <f>HYPERLINK("https://raw.githubusercontent.com/marcosmapl/dataset_imigrantes/main/noticias_filtered/a_critica/venezuelanos/2018/07_ago/html/1.194626_334.html", "HTML")</f>
        <v/>
      </c>
      <c r="L2027">
        <f>HYPERLINK("https://raw.githubusercontent.com/marcosmapl/dataset_imigrantes/main/noticias_filtered/a_critica/venezuelanos/2018/07_ago/txt/1.194626_334.txt", "TXT")</f>
        <v/>
      </c>
    </row>
    <row r="2028">
      <c r="A2028" s="1" t="n">
        <v>2026</v>
      </c>
      <c r="B2028" t="n">
        <v>2018</v>
      </c>
      <c r="C2028" s="2" t="n">
        <v>43333.78872685185</v>
      </c>
      <c r="D2028" t="inlineStr">
        <is>
          <t>A CRITICA</t>
        </is>
      </c>
      <c r="E2028" t="inlineStr">
        <is>
          <t>VENEZUELANOS</t>
        </is>
      </c>
      <c r="F2028" t="inlineStr"/>
      <c r="G2028" t="inlineStr">
        <is>
          <t>DÉBORA BRITO (AGÊNCIA BRASIL)</t>
        </is>
      </c>
      <c r="H2028" t="inlineStr">
        <is>
          <t>GOVERNO ANUNCIA INTERIORIZAÇÃO DE MAIS 1 MIL VENEZUELANOS DE RORAIMA AO RESTO DO PAÍS</t>
        </is>
      </c>
      <c r="I2028" t="inlineStr">
        <is>
          <t>POR SE SITUAR NA FRONTEIRA, A CIDADE TEM RECEBIDO MILHARES DE VENEZUELANOS DESDE A INTENSIFICAÇÃO DA CRISE POLÍTICA E ECONÔMICA NA VENEZUELA</t>
        </is>
      </c>
      <c r="J2028">
        <f>HYPERLINK("https://www.acritica.com/governo-anuncia-interiorizac-o-de-mais-1-mil-venezuelanos-de-roraima-ao-resto-do-pais-1.194663", "URL")</f>
        <v/>
      </c>
      <c r="K2028">
        <f>HYPERLINK("https://raw.githubusercontent.com/marcosmapl/dataset_imigrantes/main/noticias_filtered/a_critica/venezuelanos/2018/07_ago/html/1.194663_1302.html", "HTML")</f>
        <v/>
      </c>
      <c r="L2028">
        <f>HYPERLINK("https://raw.githubusercontent.com/marcosmapl/dataset_imigrantes/main/noticias_filtered/a_critica/venezuelanos/2018/07_ago/txt/1.194663_1302.txt", "TXT")</f>
        <v/>
      </c>
    </row>
    <row r="2029">
      <c r="A2029" s="1" t="n">
        <v>2027</v>
      </c>
      <c r="B2029" t="n">
        <v>2018</v>
      </c>
      <c r="C2029" s="2" t="n">
        <v>43333.55763888889</v>
      </c>
      <c r="D2029" t="inlineStr">
        <is>
          <t>A CRITICA</t>
        </is>
      </c>
      <c r="E2029" t="inlineStr">
        <is>
          <t>VENEZUELANOS</t>
        </is>
      </c>
      <c r="F2029" t="inlineStr"/>
      <c r="G2029" t="inlineStr">
        <is>
          <t>REUTERS</t>
        </is>
      </c>
      <c r="H2029" t="inlineStr">
        <is>
          <t>AGU DEFENDE QUE SUPREMO REJEITE O FECHAMENTO DA FRONTEIRA COM VENEZUELA</t>
        </is>
      </c>
      <c r="I2029" t="inlineStr">
        <is>
          <t>PEDIDO FEITO PELO GOVERNO DE RORAIMA QUER A SUSPENSÃO TEMPORÁRIA DA IMIGRAÇÃO DE VENEZUELANOS POR MEIO DA FRONTEIRA EM PACARAIMA, NO NORTE DO ESTADO</t>
        </is>
      </c>
      <c r="J2029">
        <f>HYPERLINK("https://www.acritica.com/agu-defende-que-supremo-rejeite-o-fechamento-da-fronteira-com-venezuela-1.194752", "URL")</f>
        <v/>
      </c>
      <c r="K2029">
        <f>HYPERLINK("https://raw.githubusercontent.com/marcosmapl/dataset_imigrantes/main/noticias_filtered/a_critica/venezuelanos/2018/07_ago/html/1.194752_72.html", "HTML")</f>
        <v/>
      </c>
      <c r="L2029">
        <f>HYPERLINK("https://raw.githubusercontent.com/marcosmapl/dataset_imigrantes/main/noticias_filtered/a_critica/venezuelanos/2018/07_ago/txt/1.194752_72.txt", "TXT")</f>
        <v/>
      </c>
    </row>
    <row r="2030">
      <c r="A2030" s="1" t="n">
        <v>2028</v>
      </c>
      <c r="B2030" t="n">
        <v>2018</v>
      </c>
      <c r="C2030" s="2" t="n">
        <v>43333.53241166667</v>
      </c>
      <c r="D2030" t="inlineStr">
        <is>
          <t>G1</t>
        </is>
      </c>
      <c r="E2030" t="inlineStr">
        <is>
          <t>HAITIANOS</t>
        </is>
      </c>
      <c r="F2030" t="inlineStr">
        <is>
          <t>MATO GROSSO</t>
        </is>
      </c>
      <c r="G2030" t="inlineStr">
        <is>
          <t>G1 MT</t>
        </is>
      </c>
      <c r="H2030" t="inlineStr">
        <is>
          <t>HAITIANOS SAEM PARA PROCURAR EMPREGO, QUITINETES PEGAM FOGO E INCÊNDIO DESTRÓI MÓVEIS E OBJETOS PESSOAIS EM CUIABÁ</t>
        </is>
      </c>
      <c r="I2030" t="inlineStr">
        <is>
          <t>AS FAMÍLIAS FORAM ACOLHIDAS POR OUTROS HAITIANOS QUE MORAM NA CAPITAL E PRECISAM DE DOAÇÕES DE ROUPAS, ALIMENTOS E MÓVEIS.</t>
        </is>
      </c>
      <c r="J2030">
        <f>HYPERLINK("https://g1.globo.com/mt/mato-grosso/noticia/2018/08/21/haitianos-saem-para-procurar-emprego-quitinetes-pegam-fogo-e-incendio-destroi-moveis-e-objetos-pessoais-em-cuiaba.ghtml", "URL")</f>
        <v/>
      </c>
      <c r="K2030">
        <f>HYPERLINK("https://raw.githubusercontent.com/marcosmapl/dataset_imigrantes/main/noticias_filtered/g1/haitianos/2018/07_ago/html/g1_1ef7e0d2-22f2-11ed-b24f-6dbe51e79fca_1779.html", "HTML")</f>
        <v/>
      </c>
      <c r="L2030">
        <f>HYPERLINK("https://raw.githubusercontent.com/marcosmapl/dataset_imigrantes/main/noticias_filtered/g1/haitianos/2018/07_ago/txt/g1_1ef7e0d2-22f2-11ed-b24f-6dbe51e79fca_1779.txt", "TXT")</f>
        <v/>
      </c>
    </row>
    <row r="2031">
      <c r="A2031" s="1" t="n">
        <v>2029</v>
      </c>
      <c r="B2031" t="n">
        <v>2018</v>
      </c>
      <c r="C2031" s="2" t="n">
        <v>43333.48888888889</v>
      </c>
      <c r="D2031" t="inlineStr">
        <is>
          <t>PORTAL AMAZONIA</t>
        </is>
      </c>
      <c r="E2031" t="inlineStr">
        <is>
          <t>VENEZUELANOS</t>
        </is>
      </c>
      <c r="F2031" t="inlineStr">
        <is>
          <t>CIDADES</t>
        </is>
      </c>
      <c r="G2031" t="inlineStr">
        <is>
          <t>REDAÇÃO</t>
        </is>
      </c>
      <c r="H2031" t="inlineStr">
        <is>
          <t>EM PARECER, AGU DIZ SER CONTRA FECHAMENTO DE FRONTEIRA COM VENEZUELA</t>
        </is>
      </c>
      <c r="I2031" t="inlineStr">
        <is>
          <t>A ADVOCACIA-GERAL DA UNIÃO (AGU) ENVIOU NESTA SEGUNDA-FEIRA (20) AO SUPREMO TRIBUNAL FEDERAL (STF) MANIFESTAÇÃO CONTRA NOVO PEDIDO FEITO PELO GOVERNO DE RORAIMA PARA FECHAR TEMPORARIAMENTE A FRONTEIRA DO BRASIL COM A VENEZUELA.A PETIÇÃO FOI PROTOCOLA</t>
        </is>
      </c>
      <c r="J2031">
        <f>HYPERLINK("https://portalamazonia.com/noticias/cidades/em-parecer-agu-diz-ser-contra-fechamento-de-fronteira-com-venezuela", "URL")</f>
        <v/>
      </c>
      <c r="K2031">
        <f>HYPERLINK("https://raw.githubusercontent.com/marcosmapl/dataset_imigrantes/main/noticias_filtered/portal_amazonia/venezuelanos/2018/07_ago/html/15500.15500_1460.html", "HTML")</f>
        <v/>
      </c>
      <c r="L2031">
        <f>HYPERLINK("https://raw.githubusercontent.com/marcosmapl/dataset_imigrantes/main/noticias_filtered/portal_amazonia/venezuelanos/2018/07_ago/txt/15500.15500_1460.txt", "TXT")</f>
        <v/>
      </c>
    </row>
    <row r="2032">
      <c r="A2032" s="1" t="n">
        <v>2030</v>
      </c>
      <c r="B2032" t="n">
        <v>2018</v>
      </c>
      <c r="C2032" s="2" t="n">
        <v>43332.73680555556</v>
      </c>
      <c r="D2032" t="inlineStr">
        <is>
          <t>A CRITICA</t>
        </is>
      </c>
      <c r="E2032" t="inlineStr">
        <is>
          <t>VENEZUELANOS</t>
        </is>
      </c>
      <c r="F2032" t="inlineStr"/>
      <c r="G2032" t="inlineStr">
        <is>
          <t>YARA AQUINO (AGÊNCIA BRASIL)</t>
        </is>
      </c>
      <c r="H2032" t="inlineStr">
        <is>
          <t>FECHAMENTO DE FRONTEIRA COM VENEZUELA É IMPENSÁVEL, DIZ MINISTRO ETCHEGOYEN</t>
        </is>
      </c>
      <c r="I2032" t="inlineStr">
        <is>
          <t>COMISSÃO INTERMINISTERIAL EMBARCA PARA RORAIMA PARA AVALIAR SITUAÇÃO NAS CIDADES. NO SÁBADO (18), MORADORES DE PACARAIMA ATACARAM BARRACAS E ABRIGOS DE IMIGRANTES VENEZUELANOS</t>
        </is>
      </c>
      <c r="J2032">
        <f>HYPERLINK("https://www.acritica.com/fechamento-de-fronteira-com-venezuela-e-impensavel-diz-ministro-etchegoyen-1.194588", "URL")</f>
        <v/>
      </c>
      <c r="K2032">
        <f>HYPERLINK("https://raw.githubusercontent.com/marcosmapl/dataset_imigrantes/main/noticias_filtered/a_critica/venezuelanos/2018/07_ago/html/1.194588_1210.html", "HTML")</f>
        <v/>
      </c>
      <c r="L2032">
        <f>HYPERLINK("https://raw.githubusercontent.com/marcosmapl/dataset_imigrantes/main/noticias_filtered/a_critica/venezuelanos/2018/07_ago/txt/1.194588_1210.txt", "TXT")</f>
        <v/>
      </c>
    </row>
    <row r="2033">
      <c r="A2033" s="1" t="n">
        <v>2031</v>
      </c>
      <c r="B2033" t="n">
        <v>2018</v>
      </c>
      <c r="C2033" s="2" t="n">
        <v>43332.72708333333</v>
      </c>
      <c r="D2033" t="inlineStr">
        <is>
          <t>PORTAL AMAZONIA</t>
        </is>
      </c>
      <c r="E2033" t="inlineStr">
        <is>
          <t>VENEZUELANOS</t>
        </is>
      </c>
      <c r="F2033" t="inlineStr">
        <is>
          <t>CIDADES</t>
        </is>
      </c>
      <c r="G2033" t="inlineStr">
        <is>
          <t>REDAÇÃO</t>
        </is>
      </c>
      <c r="H2033" t="inlineStr">
        <is>
          <t>NOVO PEDIDO DE CONTROLE DA FRONTEIRA COM A VENEZUELA É PROTOCOLADO NO STF</t>
        </is>
      </c>
      <c r="I2033" t="inlineStr">
        <is>
          <t>UM NOVO PEDIDO DE SUSPENSÃO TEMPORÁRIA DE ENTRADA DE IMIGRANTES VENEZUELANOS NO PAÍS FOI PROTOCOLADO NESTA SEGUNDA-FEIRA (20) PELA PROCURADORIA-GERAL DO ESTADO (PGE) DE RORAIMA JUNTO AO SUPREMO TRIBUNAL FEDERAL (STF). DE ACORDO COM A PROCURADORIA, O</t>
        </is>
      </c>
      <c r="J2033">
        <f>HYPERLINK("https://portalamazonia.com/noticias/cidades/novo-pedido-de-controle-da-fronteira-com-a-venezuela-e-protocolado-no-stf", "URL")</f>
        <v/>
      </c>
      <c r="K2033">
        <f>HYPERLINK("https://raw.githubusercontent.com/marcosmapl/dataset_imigrantes/main/noticias_filtered/portal_amazonia/venezuelanos/2018/07_ago/html/15494.15494_1597.html", "HTML")</f>
        <v/>
      </c>
      <c r="L2033">
        <f>HYPERLINK("https://raw.githubusercontent.com/marcosmapl/dataset_imigrantes/main/noticias_filtered/portal_amazonia/venezuelanos/2018/07_ago/txt/15494.15494_1597.txt", "TXT")</f>
        <v/>
      </c>
    </row>
    <row r="2034">
      <c r="A2034" s="1" t="n">
        <v>2032</v>
      </c>
      <c r="B2034" t="n">
        <v>2018</v>
      </c>
      <c r="C2034" s="2" t="n">
        <v>43332.60829861111</v>
      </c>
      <c r="D2034" t="inlineStr">
        <is>
          <t>A CRITICA</t>
        </is>
      </c>
      <c r="E2034" t="inlineStr">
        <is>
          <t>VENEZUELANOS</t>
        </is>
      </c>
      <c r="F2034" t="inlineStr"/>
      <c r="G2034" t="inlineStr">
        <is>
          <t>REUTERS</t>
        </is>
      </c>
      <c r="H2034" t="inlineStr">
        <is>
          <t>GOVERNO DE RORAIMA PEDE NO STF SUSPENSÃO DE IMIGRAÇÃO VENEZUELANA POR PACARAIMA</t>
        </is>
      </c>
      <c r="I2034" t="inlineStr">
        <is>
          <t>A MEDIDA REFORÇA UMA AÇÃO JÁ IMPETRADA POR RORAIMA JUNTO AO SUPREMO PEDINDO O FECHAMENTO DA ENTRADA DE IMIGRANTES</t>
        </is>
      </c>
      <c r="J2034">
        <f>HYPERLINK("https://www.acritica.com/governo-de-roraima-pede-no-stf-suspens-o-de-imigrac-o-venezuelana-por-pacaraima-1.194368", "URL")</f>
        <v/>
      </c>
      <c r="K2034">
        <f>HYPERLINK("https://raw.githubusercontent.com/marcosmapl/dataset_imigrantes/main/noticias_filtered/a_critica/venezuelanos/2018/07_ago/html/1.194368_872.html", "HTML")</f>
        <v/>
      </c>
      <c r="L2034">
        <f>HYPERLINK("https://raw.githubusercontent.com/marcosmapl/dataset_imigrantes/main/noticias_filtered/a_critica/venezuelanos/2018/07_ago/txt/1.194368_872.txt", "TXT")</f>
        <v/>
      </c>
    </row>
    <row r="2035">
      <c r="A2035" s="1" t="n">
        <v>2033</v>
      </c>
      <c r="B2035" t="n">
        <v>2018</v>
      </c>
      <c r="C2035" s="2" t="n">
        <v>43332.59166666667</v>
      </c>
      <c r="D2035" t="inlineStr">
        <is>
          <t>A CRITICA</t>
        </is>
      </c>
      <c r="E2035" t="inlineStr">
        <is>
          <t>VENEZUELANOS</t>
        </is>
      </c>
      <c r="F2035" t="inlineStr"/>
      <c r="G2035" t="inlineStr">
        <is>
          <t>AFP</t>
        </is>
      </c>
      <c r="H2035" t="inlineStr">
        <is>
          <t>VENEZUELA ESTREIA NOVA MOEDA COM CINCO ZEROS A MENOS ENTRE O TEMOR DA POPULAÇÃO</t>
        </is>
      </c>
      <c r="I2035" t="inlineStr">
        <is>
          <t>AGORA COM CINCO ZEROS A MENOS, AS NOVAS CÉDULAS DE BOLÍVAR SÃO A PRIMEIRA MEDIDA DO PLANO DE REFORMA ECONÔMICA DO PRESIDENTE NICOLÁS MADURO</t>
        </is>
      </c>
      <c r="J2035">
        <f>HYPERLINK("https://www.acritica.com/venezuela-estreia-nova-moeda-com-cinco-zeros-a-menos-entre-o-temor-da-populac-o-1.194376", "URL")</f>
        <v/>
      </c>
      <c r="K2035">
        <f>HYPERLINK("https://raw.githubusercontent.com/marcosmapl/dataset_imigrantes/main/noticias_filtered/a_critica/venezuelanos/2018/07_ago/html/1.194376_281.html", "HTML")</f>
        <v/>
      </c>
      <c r="L2035">
        <f>HYPERLINK("https://raw.githubusercontent.com/marcosmapl/dataset_imigrantes/main/noticias_filtered/a_critica/venezuelanos/2018/07_ago/txt/1.194376_281.txt", "TXT")</f>
        <v/>
      </c>
    </row>
    <row r="2036">
      <c r="A2036" s="1" t="n">
        <v>2034</v>
      </c>
      <c r="B2036" t="n">
        <v>2018</v>
      </c>
      <c r="C2036" s="2" t="n">
        <v>43332.53896115741</v>
      </c>
      <c r="D2036" t="inlineStr">
        <is>
          <t>G1</t>
        </is>
      </c>
      <c r="E2036" t="inlineStr">
        <is>
          <t>VENEZUELANOS</t>
        </is>
      </c>
      <c r="F2036" t="inlineStr">
        <is>
          <t>RORAIMA</t>
        </is>
      </c>
      <c r="G2036" t="inlineStr">
        <is>
          <t>EMILY COSTA, G1 RR — BOA VISTA</t>
        </is>
      </c>
      <c r="H2036" t="inlineStr">
        <is>
          <t>PREFEITURA DE PACARAIMA SUSPENDE TRANSPORTE ESCOLAR DE ALUNOS QUE MORAM EM CIDADE VENEZUELANA NA FRONTEIRA</t>
        </is>
      </c>
      <c r="I2036" t="inlineStr">
        <is>
          <t>SEGUNDO PREFEITO JULIANO TORQUARTO (PRB) SUSPENSÃO OCORREU POR RECEIO DE QUE VENEZUELANOS REVIDEM ATAQUES DE SÁBADO (18).</t>
        </is>
      </c>
      <c r="J2036">
        <f>HYPERLINK("https://g1.globo.com/rr/roraima/noticia/2018/08/20/prefeitura-de-pacaraima-suspende-transporte-escolar-de-alunos-que-moram-em-cidade-venezuelana-na-fronteira.ghtml", "URL")</f>
        <v/>
      </c>
      <c r="K2036">
        <f>HYPERLINK("https://raw.githubusercontent.com/marcosmapl/dataset_imigrantes/main/noticias_filtered/g1/venezuelanos/2018/07_ago/html/g1_1acc601c-232b-11ed-b24f-6dbe51e79fca_4222.html", "HTML")</f>
        <v/>
      </c>
      <c r="L2036">
        <f>HYPERLINK("https://raw.githubusercontent.com/marcosmapl/dataset_imigrantes/main/noticias_filtered/g1/venezuelanos/2018/07_ago/txt/g1_1acc601c-232b-11ed-b24f-6dbe51e79fca_4222.txt", "TXT")</f>
        <v/>
      </c>
    </row>
    <row r="2037">
      <c r="A2037" s="1" t="n">
        <v>2035</v>
      </c>
      <c r="B2037" t="n">
        <v>2018</v>
      </c>
      <c r="C2037" s="2" t="n">
        <v>43332.52001157407</v>
      </c>
      <c r="D2037" t="inlineStr">
        <is>
          <t>A CRITICA</t>
        </is>
      </c>
      <c r="E2037" t="inlineStr">
        <is>
          <t>VENEZUELANOS</t>
        </is>
      </c>
      <c r="F2037" t="inlineStr"/>
      <c r="G2037" t="inlineStr">
        <is>
          <t>AGÊNCIA BRASIL</t>
        </is>
      </c>
      <c r="H2037" t="inlineStr">
        <is>
          <t>EM BUSCA DE ALTERNATIVAS PARA SITUAÇÃO DE VENEZUELANOS, TEMER REÚNE MINISTROS</t>
        </is>
      </c>
      <c r="I2037" t="inlineStr">
        <is>
          <t>CRISE ENVOLVENDO IMIGRANTES EM RORAIMA GANHOU NOVO ESTOPIM NO SÁBADO (18), QUANDO BARRACAS DE VENEZUELANOS FORAM ATACADAS MORADORES PACARAIMA</t>
        </is>
      </c>
      <c r="J2037">
        <f>HYPERLINK("https://www.acritica.com/em-busca-de-alternativas-para-situac-o-de-venezuelanos-temer-reune-ministros-1.194398", "URL")</f>
        <v/>
      </c>
      <c r="K2037">
        <f>HYPERLINK("https://raw.githubusercontent.com/marcosmapl/dataset_imigrantes/main/noticias_filtered/a_critica/venezuelanos/2018/07_ago/html/1.194398_262.html", "HTML")</f>
        <v/>
      </c>
      <c r="L2037">
        <f>HYPERLINK("https://raw.githubusercontent.com/marcosmapl/dataset_imigrantes/main/noticias_filtered/a_critica/venezuelanos/2018/07_ago/txt/1.194398_262.txt", "TXT")</f>
        <v/>
      </c>
    </row>
    <row r="2038">
      <c r="A2038" s="1" t="n">
        <v>2036</v>
      </c>
      <c r="B2038" t="n">
        <v>2018</v>
      </c>
      <c r="C2038" s="2" t="n">
        <v>43332.48335648148</v>
      </c>
      <c r="D2038" t="inlineStr">
        <is>
          <t>A CRITICA</t>
        </is>
      </c>
      <c r="E2038" t="inlineStr">
        <is>
          <t>VENEZUELANOS</t>
        </is>
      </c>
      <c r="F2038" t="inlineStr">
        <is>
          <t>OPINIAO</t>
        </is>
      </c>
      <c r="G2038" t="inlineStr"/>
      <c r="H2038" t="inlineStr">
        <is>
          <t>VENEZUELANOS: ÓDIO COMO MODELO DE GOVERNO</t>
        </is>
      </c>
      <c r="I2038" t="inlineStr"/>
      <c r="J2038">
        <f>HYPERLINK("https://www.acritica.com/opiniao/venezuelanos-odio-como-modelo-de-governo-1.230816", "URL")</f>
        <v/>
      </c>
      <c r="K2038">
        <f>HYPERLINK("https://raw.githubusercontent.com/marcosmapl/dataset_imigrantes/main/noticias_filtered/a_critica/venezuelanos/2018/07_ago/html/1.230816_26.html", "HTML")</f>
        <v/>
      </c>
      <c r="L2038">
        <f>HYPERLINK("https://raw.githubusercontent.com/marcosmapl/dataset_imigrantes/main/noticias_filtered/a_critica/venezuelanos/2018/07_ago/txt/1.230816_26.txt", "TXT")</f>
        <v/>
      </c>
    </row>
    <row r="2039">
      <c r="A2039" s="1" t="n">
        <v>2037</v>
      </c>
      <c r="B2039" t="n">
        <v>2018</v>
      </c>
      <c r="C2039" s="2" t="n">
        <v>43332.47708333333</v>
      </c>
      <c r="D2039" t="inlineStr">
        <is>
          <t>A CRITICA</t>
        </is>
      </c>
      <c r="E2039" t="inlineStr">
        <is>
          <t>VENEZUELANOS</t>
        </is>
      </c>
      <c r="F2039" t="inlineStr"/>
      <c r="G2039" t="inlineStr"/>
      <c r="H2039" t="inlineStr">
        <is>
          <t>TEMER MAL NA FITA NO AMAZONAS</t>
        </is>
      </c>
      <c r="I2039" t="inlineStr"/>
      <c r="J2039">
        <f>HYPERLINK("https://www.acritica.com/temer-mal-na-fita-no-amazonas-1.230822", "URL")</f>
        <v/>
      </c>
      <c r="K2039">
        <f>HYPERLINK("https://raw.githubusercontent.com/marcosmapl/dataset_imigrantes/main/noticias_filtered/a_critica/venezuelanos/2018/07_ago/html/1.230822_887.html", "HTML")</f>
        <v/>
      </c>
      <c r="L2039">
        <f>HYPERLINK("https://raw.githubusercontent.com/marcosmapl/dataset_imigrantes/main/noticias_filtered/a_critica/venezuelanos/2018/07_ago/txt/1.230822_887.txt", "TXT")</f>
        <v/>
      </c>
    </row>
    <row r="2040">
      <c r="A2040" s="1" t="n">
        <v>2038</v>
      </c>
      <c r="B2040" t="n">
        <v>2018</v>
      </c>
      <c r="C2040" s="2" t="n">
        <v>43331.84122685185</v>
      </c>
      <c r="D2040" t="inlineStr">
        <is>
          <t>A CRITICA</t>
        </is>
      </c>
      <c r="E2040" t="inlineStr">
        <is>
          <t>VENEZUELANOS</t>
        </is>
      </c>
      <c r="F2040" t="inlineStr"/>
      <c r="G2040" t="inlineStr">
        <is>
          <t>AFP</t>
        </is>
      </c>
      <c r="H2040" t="inlineStr">
        <is>
          <t>VENEZUELA PEDE AO BRASIL PARA PROTEGER SEUS CIDADÃOS APÓS ATAQUE</t>
        </is>
      </c>
      <c r="I2040" t="inlineStr">
        <is>
          <t>O GOVERNO DO PRESIDENTE NICOLÁS MADURO DISSE TER ORDENADO QUE OS FUNCIONÁRIOS DE SEU CONSULADO EM BOA VISTA SIGAM PARA PACARAIMA PARA ANALISAR A SITUAÇÃO E "VELAR PELA INTEGRIDADE" DOS VENEZUELANOS</t>
        </is>
      </c>
      <c r="J2040">
        <f>HYPERLINK("https://www.acritica.com/venezuela-pede-ao-brasil-para-proteger-seus-cidad-os-apos-ataque-1.194438", "URL")</f>
        <v/>
      </c>
      <c r="K2040">
        <f>HYPERLINK("https://raw.githubusercontent.com/marcosmapl/dataset_imigrantes/main/noticias_filtered/a_critica/venezuelanos/2018/07_ago/html/1.194438_234.html", "HTML")</f>
        <v/>
      </c>
      <c r="L2040">
        <f>HYPERLINK("https://raw.githubusercontent.com/marcosmapl/dataset_imigrantes/main/noticias_filtered/a_critica/venezuelanos/2018/07_ago/txt/1.194438_234.txt", "TXT")</f>
        <v/>
      </c>
    </row>
    <row r="2041">
      <c r="A2041" s="1" t="n">
        <v>2039</v>
      </c>
      <c r="B2041" t="n">
        <v>2018</v>
      </c>
      <c r="C2041" s="2" t="n">
        <v>43331.78836761574</v>
      </c>
      <c r="D2041" t="inlineStr">
        <is>
          <t>G1</t>
        </is>
      </c>
      <c r="E2041" t="inlineStr">
        <is>
          <t>VENEZUELANOS</t>
        </is>
      </c>
      <c r="F2041" t="inlineStr">
        <is>
          <t>RORAIMA</t>
        </is>
      </c>
      <c r="G2041" t="inlineStr">
        <is>
          <t>G1 RR — BOA VISTA</t>
        </is>
      </c>
      <c r="H2041" t="inlineStr">
        <is>
          <t>VENEZUELANO É ESFAQUEADO POR OUTRO E MORRE EM BOA VISTA</t>
        </is>
      </c>
      <c r="I2041" t="inlineStr">
        <is>
          <t>SUSPEITO TERIA COMETIDO ASSASSINATO PORQUE VÍTIMA ESTAVA COM A MULHER DELE. CRIME ACONTECEU NO SÁBADO (18) E VENEZUELANO MORREU NESTA MANHÃ NA POLICLÍNICA COSME E SILVA.</t>
        </is>
      </c>
      <c r="J2041">
        <f>HYPERLINK("https://g1.globo.com/rr/roraima/noticia/2018/08/19/venezuelano-e-esfaqueado-por-outro-e-morre-em-boa-vista.ghtml", "URL")</f>
        <v/>
      </c>
      <c r="K2041">
        <f>HYPERLINK("https://raw.githubusercontent.com/marcosmapl/dataset_imigrantes/main/noticias_filtered/g1/venezuelanos/2018/07_ago/html/g1_c2a03eb2-232b-11ed-b24f-6dbe51e79fca_4268.html", "HTML")</f>
        <v/>
      </c>
      <c r="L2041">
        <f>HYPERLINK("https://raw.githubusercontent.com/marcosmapl/dataset_imigrantes/main/noticias_filtered/g1/venezuelanos/2018/07_ago/txt/g1_c2a03eb2-232b-11ed-b24f-6dbe51e79fca_4268.txt", "TXT")</f>
        <v/>
      </c>
    </row>
    <row r="2042">
      <c r="A2042" s="1" t="n">
        <v>2040</v>
      </c>
      <c r="B2042" t="n">
        <v>2018</v>
      </c>
      <c r="C2042" s="2" t="n">
        <v>43331.73104166667</v>
      </c>
      <c r="D2042" t="inlineStr">
        <is>
          <t>A CRITICA</t>
        </is>
      </c>
      <c r="E2042" t="inlineStr">
        <is>
          <t>VENEZUELANOS</t>
        </is>
      </c>
      <c r="F2042" t="inlineStr"/>
      <c r="G2042" t="inlineStr">
        <is>
          <t>AGÊNCIA BRASIL</t>
        </is>
      </c>
      <c r="H2042" t="inlineStr">
        <is>
          <t>EXÉRCITO DIZ QUE 1,2 MIL VENEZUELANOS SAÍRAM DO BRASIL APÓS VIOLÊNCIA</t>
        </is>
      </c>
      <c r="I2042" t="inlineStr">
        <is>
          <t>AS FAMÍLIAS VENEZUELANAS QUE DECIDIRAM RETORNAR AO PAÍS NATAL CONSEGUIRAM ATRAVESSAR A FRONTEIRA EM SEGURANÇA E COM A INTEGRIDADE FÍSICA GARANTIDA, INFORMOU O EXÉRCITO.</t>
        </is>
      </c>
      <c r="J2042">
        <f>HYPERLINK("https://www.acritica.com/exercito-diz-que-1-2-mil-venezuelanos-sairam-do-brasil-apos-violencia-1.194476", "URL")</f>
        <v/>
      </c>
      <c r="K2042">
        <f>HYPERLINK("https://raw.githubusercontent.com/marcosmapl/dataset_imigrantes/main/noticias_filtered/a_critica/venezuelanos/2018/07_ago/html/1.194476_490.html", "HTML")</f>
        <v/>
      </c>
      <c r="L2042">
        <f>HYPERLINK("https://raw.githubusercontent.com/marcosmapl/dataset_imigrantes/main/noticias_filtered/a_critica/venezuelanos/2018/07_ago/txt/1.194476_490.txt", "TXT")</f>
        <v/>
      </c>
    </row>
    <row r="2043">
      <c r="A2043" s="1" t="n">
        <v>2041</v>
      </c>
      <c r="B2043" t="n">
        <v>2018</v>
      </c>
      <c r="C2043" s="2" t="n">
        <v>43330.86319444444</v>
      </c>
      <c r="D2043" t="inlineStr">
        <is>
          <t>A CRITICA</t>
        </is>
      </c>
      <c r="E2043" t="inlineStr">
        <is>
          <t>VENEZUELANOS</t>
        </is>
      </c>
      <c r="F2043" t="inlineStr">
        <is>
          <t>MANAUS</t>
        </is>
      </c>
      <c r="G2043" t="inlineStr">
        <is>
          <t>PAULO ANDRÉ NUNES</t>
        </is>
      </c>
      <c r="H2043" t="inlineStr">
        <is>
          <t>SÁBADO SOLIDÁRIO: MORADORES DE RUA GANHAM BANHO, FRUTAS E ATÉ VACINAS CONTRA SARAMPO</t>
        </is>
      </c>
      <c r="I2043" t="inlineStr">
        <is>
          <t>AÇÃO REALIZADA POR COMUNIDADE ADVENTISTA DO BAIRRO ADRIANÓPOLIS LEVOU CARINHO E AMOR AO PRÓXIMO A QUEM VIVE EM CONDIÇÕES DE ABANDONO</t>
        </is>
      </c>
      <c r="J2043">
        <f>HYPERLINK("https://www.acritica.com/manaus/sabado-solidario-moradores-de-rua-ganham-banho-frutas-e-ate-vacinas-contra-sarampo-1.194238", "URL")</f>
        <v/>
      </c>
      <c r="K2043">
        <f>HYPERLINK("https://raw.githubusercontent.com/marcosmapl/dataset_imigrantes/main/noticias_filtered/a_critica/venezuelanos/2018/07_ago/html/1.194238_1068.html", "HTML")</f>
        <v/>
      </c>
      <c r="L2043">
        <f>HYPERLINK("https://raw.githubusercontent.com/marcosmapl/dataset_imigrantes/main/noticias_filtered/a_critica/venezuelanos/2018/07_ago/txt/1.194238_1068.txt", "TXT")</f>
        <v/>
      </c>
    </row>
    <row r="2044">
      <c r="A2044" s="1" t="n">
        <v>2042</v>
      </c>
      <c r="B2044" t="n">
        <v>2018</v>
      </c>
      <c r="C2044" s="2" t="n">
        <v>43330.80496527778</v>
      </c>
      <c r="D2044" t="inlineStr">
        <is>
          <t>A CRITICA</t>
        </is>
      </c>
      <c r="E2044" t="inlineStr">
        <is>
          <t>VENEZUELANOS</t>
        </is>
      </c>
      <c r="F2044" t="inlineStr"/>
      <c r="G2044" t="inlineStr">
        <is>
          <t>AFP</t>
        </is>
      </c>
      <c r="H2044" t="inlineStr">
        <is>
          <t>NERVOSISMO NA VENEZUELA À ESPERA DE NOVA MOEDA; BOLÍVAR PERDE CINCO 'ZEROS'</t>
        </is>
      </c>
      <c r="I2044" t="inlineStr">
        <is>
          <t>À ESPERA DA ENTRADA EM VIGOR DA NOVA MOEDA, NA PRÓXIMA SEGUNDA-FEIRA, MUITOS SAÍRAM PARA COMPRAR COMIDA ATÉ ONDE O DINHEIRO DEU.</t>
        </is>
      </c>
      <c r="J2044">
        <f>HYPERLINK("https://www.acritica.com/nervosismo-na-venezuela-a-espera-de-nova-moeda-bolivar-perde-cinco-zeros-1.194246", "URL")</f>
        <v/>
      </c>
      <c r="K2044">
        <f>HYPERLINK("https://raw.githubusercontent.com/marcosmapl/dataset_imigrantes/main/noticias_filtered/a_critica/venezuelanos/2018/07_ago/html/1.194246_1306.html", "HTML")</f>
        <v/>
      </c>
      <c r="L2044">
        <f>HYPERLINK("https://raw.githubusercontent.com/marcosmapl/dataset_imigrantes/main/noticias_filtered/a_critica/venezuelanos/2018/07_ago/txt/1.194246_1306.txt", "TXT")</f>
        <v/>
      </c>
    </row>
    <row r="2045">
      <c r="A2045" s="1" t="n">
        <v>2043</v>
      </c>
      <c r="B2045" t="n">
        <v>2018</v>
      </c>
      <c r="C2045" s="2" t="n">
        <v>43330.49583333333</v>
      </c>
      <c r="D2045" t="inlineStr">
        <is>
          <t>A CRITICA</t>
        </is>
      </c>
      <c r="E2045" t="inlineStr">
        <is>
          <t>VENEZUELANOS</t>
        </is>
      </c>
      <c r="F2045" t="inlineStr"/>
      <c r="G2045" t="inlineStr"/>
      <c r="H2045" t="inlineStr">
        <is>
          <t>PESQUISA  DO IBOPE É DIVULGADA</t>
        </is>
      </c>
      <c r="I2045" t="inlineStr"/>
      <c r="J2045">
        <f>HYPERLINK("https://www.acritica.com/pesquisa-do-ibope-e-divulgada-1.230838", "URL")</f>
        <v/>
      </c>
      <c r="K2045">
        <f>HYPERLINK("https://raw.githubusercontent.com/marcosmapl/dataset_imigrantes/main/noticias_filtered/a_critica/venezuelanos/2018/07_ago/html/1.230838_1190.html", "HTML")</f>
        <v/>
      </c>
      <c r="L2045">
        <f>HYPERLINK("https://raw.githubusercontent.com/marcosmapl/dataset_imigrantes/main/noticias_filtered/a_critica/venezuelanos/2018/07_ago/txt/1.230838_1190.txt", "TXT")</f>
        <v/>
      </c>
    </row>
    <row r="2046">
      <c r="A2046" s="1" t="n">
        <v>2044</v>
      </c>
      <c r="B2046" t="n">
        <v>2018</v>
      </c>
      <c r="C2046" s="2" t="n">
        <v>43329.95214403935</v>
      </c>
      <c r="D2046" t="inlineStr">
        <is>
          <t>G1</t>
        </is>
      </c>
      <c r="E2046" t="inlineStr">
        <is>
          <t>VENEZUELANOS</t>
        </is>
      </c>
      <c r="F2046" t="inlineStr">
        <is>
          <t>MUNDO</t>
        </is>
      </c>
      <c r="G2046" t="inlineStr">
        <is>
          <t>DEUTSCHE WELLE</t>
        </is>
      </c>
      <c r="H2046" t="inlineStr">
        <is>
          <t>PERU PASSA A EXIGIR PASSAPORTE DE VENEZUELANOS</t>
        </is>
      </c>
      <c r="I2046" t="inlineStr">
        <is>
          <t>DEPOIS DO EQUADOR, GOVERNO PERUANO ENDURECE REGRAS PARA ENTRADA EM SEU TERRITÓRIO. O PERU É O SEGUNDO PAÍS QUE MAIS RECEBEU IMIGRANTES VENEZUELANOS NOS ÚLTIMOS MESES.</t>
        </is>
      </c>
      <c r="J2046">
        <f>HYPERLINK("https://g1.globo.com/mundo/noticia/2018/08/17/peru-passa-a-exigir-passaporte-de-venezuelanos.ghtml", "URL")</f>
        <v/>
      </c>
      <c r="K2046">
        <f>HYPERLINK("https://raw.githubusercontent.com/marcosmapl/dataset_imigrantes/main/noticias_filtered/g1/venezuelanos/2018/07_ago/html/g1_1f05c9a6-2318-11ed-b24f-6dbe51e79fca_3244.html", "HTML")</f>
        <v/>
      </c>
      <c r="L2046">
        <f>HYPERLINK("https://raw.githubusercontent.com/marcosmapl/dataset_imigrantes/main/noticias_filtered/g1/venezuelanos/2018/07_ago/txt/g1_1f05c9a6-2318-11ed-b24f-6dbe51e79fca_3244.txt", "TXT")</f>
        <v/>
      </c>
    </row>
    <row r="2047">
      <c r="A2047" s="1" t="n">
        <v>2045</v>
      </c>
      <c r="B2047" t="n">
        <v>2018</v>
      </c>
      <c r="C2047" s="2" t="n">
        <v>43329.85208333333</v>
      </c>
      <c r="D2047" t="inlineStr">
        <is>
          <t>A CRITICA</t>
        </is>
      </c>
      <c r="E2047" t="inlineStr">
        <is>
          <t>VENEZUELANOS</t>
        </is>
      </c>
      <c r="F2047" t="inlineStr">
        <is>
          <t>MANAUS</t>
        </is>
      </c>
      <c r="G2047" t="inlineStr">
        <is>
          <t>ACRÍTICA.COM</t>
        </is>
      </c>
      <c r="H2047" t="inlineStr">
        <is>
          <t>PROJETO OFERECE CURSOS PROFISSIONALIZANTES A VENEZUELANOS REFUGIADOS EM MANAUS</t>
        </is>
      </c>
      <c r="I2047" t="inlineStr">
        <is>
          <t>ALÉM DOS CURSOS PROFISSIONALIZANTES, AULAS DE PORTUGUÊS TAMBÉM SÃO DISPONIBILIZADAS PELO PROJETO OPORTUNIZAR</t>
        </is>
      </c>
      <c r="J2047">
        <f>HYPERLINK("https://www.acritica.com/manaus/projeto-oferece-cursos-profissionalizantes-a-venezuelanos-refugiados-em-manaus-1.194111", "URL")</f>
        <v/>
      </c>
      <c r="K2047">
        <f>HYPERLINK("https://raw.githubusercontent.com/marcosmapl/dataset_imigrantes/main/noticias_filtered/a_critica/venezuelanos/2018/07_ago/html/1.194111_204.html", "HTML")</f>
        <v/>
      </c>
      <c r="L2047">
        <f>HYPERLINK("https://raw.githubusercontent.com/marcosmapl/dataset_imigrantes/main/noticias_filtered/a_critica/venezuelanos/2018/07_ago/txt/1.194111_204.txt", "TXT")</f>
        <v/>
      </c>
    </row>
    <row r="2048">
      <c r="A2048" s="1" t="n">
        <v>2046</v>
      </c>
      <c r="B2048" t="n">
        <v>2018</v>
      </c>
      <c r="C2048" s="2" t="n">
        <v>43328.9433116088</v>
      </c>
      <c r="D2048" t="inlineStr">
        <is>
          <t>G1</t>
        </is>
      </c>
      <c r="E2048" t="inlineStr">
        <is>
          <t>HAITIANOS</t>
        </is>
      </c>
      <c r="F2048" t="inlineStr">
        <is>
          <t>SANTA CATARINA</t>
        </is>
      </c>
      <c r="G2048" t="inlineStr">
        <is>
          <t>JOANA CALDAS, G1 SC</t>
        </is>
      </c>
      <c r="H2048" t="inlineStr">
        <is>
          <t>HOMEM É PRESO EM SC SUSPEITO DE AGREDIR COMPANHEIRA GRÁVIDA COM SOCOS NA BARRIGA; MULHER PERDEU BEBÊ</t>
        </is>
      </c>
      <c r="I2048" t="inlineStr">
        <is>
          <t>POLÍCIA ACREDITA QUE LESÕES TENHAM LEVADO À INTERRUPÇÃO DA GRAVIDEZ. HOMEM JÁ HAVIA SIDO DENUNCIADO POR OUTRAS MULHERES.</t>
        </is>
      </c>
      <c r="J2048">
        <f>HYPERLINK("https://g1.globo.com/sc/santa-catarina/noticia/2018/08/16/homem-e-preso-em-sc-suspeito-de-agredir-companheira-gravida-com-socos-na-barriga-mulher-perdeu-bebe.ghtml", "URL")</f>
        <v/>
      </c>
      <c r="K2048">
        <f>HYPERLINK("https://raw.githubusercontent.com/marcosmapl/dataset_imigrantes/main/noticias_filtered/g1/haitianos/2018/07_ago/html/g1_37ef22ea-22ec-11ed-b24f-6dbe51e79fca_1650.html", "HTML")</f>
        <v/>
      </c>
      <c r="L2048">
        <f>HYPERLINK("https://raw.githubusercontent.com/marcosmapl/dataset_imigrantes/main/noticias_filtered/g1/haitianos/2018/07_ago/txt/g1_37ef22ea-22ec-11ed-b24f-6dbe51e79fca_1650.txt", "TXT")</f>
        <v/>
      </c>
    </row>
    <row r="2049">
      <c r="A2049" s="1" t="n">
        <v>2047</v>
      </c>
      <c r="B2049" t="n">
        <v>2018</v>
      </c>
      <c r="C2049" s="2" t="n">
        <v>43328.90833333333</v>
      </c>
      <c r="D2049" t="inlineStr">
        <is>
          <t>A CRITICA</t>
        </is>
      </c>
      <c r="E2049" t="inlineStr">
        <is>
          <t>VENEZUELANOS</t>
        </is>
      </c>
      <c r="F2049" t="inlineStr">
        <is>
          <t>MANAUS</t>
        </is>
      </c>
      <c r="G2049" t="inlineStr">
        <is>
          <t>ACRÍTICA.COM</t>
        </is>
      </c>
      <c r="H2049" t="inlineStr">
        <is>
          <t>SECRETARIA SELECIONA PROFISSIONAIS PARA TRABALHAR EM ABRIGOS DE VENEZUELANOS</t>
        </is>
      </c>
      <c r="I2049" t="inlineStr">
        <is>
          <t>AS VAGAS SÃO PARA COORDENADOR, ASSISTENTE SOCIAL, PSICÓLOGO (A), ANTROPÓLOGO (A), TRADUTOR (A) NÍVEL MÉDIO COM FLUÊNCIA EM ESPANHOL E AUXILIAR ADMINISTRATIVO</t>
        </is>
      </c>
      <c r="J2049">
        <f>HYPERLINK("https://www.acritica.com/manaus/secretaria-seleciona-profissionais-para-trabalhar-em-abrigos-de-venezuelanos-1.194008", "URL")</f>
        <v/>
      </c>
      <c r="K2049">
        <f>HYPERLINK("https://raw.githubusercontent.com/marcosmapl/dataset_imigrantes/main/noticias_filtered/a_critica/venezuelanos/2018/07_ago/html/1.194008_1152.html", "HTML")</f>
        <v/>
      </c>
      <c r="L2049">
        <f>HYPERLINK("https://raw.githubusercontent.com/marcosmapl/dataset_imigrantes/main/noticias_filtered/a_critica/venezuelanos/2018/07_ago/txt/1.194008_1152.txt", "TXT")</f>
        <v/>
      </c>
    </row>
    <row r="2050">
      <c r="A2050" s="1" t="n">
        <v>2048</v>
      </c>
      <c r="B2050" t="n">
        <v>2018</v>
      </c>
      <c r="C2050" s="2" t="n">
        <v>43328.4190625</v>
      </c>
      <c r="D2050" t="inlineStr">
        <is>
          <t>A CRITICA</t>
        </is>
      </c>
      <c r="E2050" t="inlineStr">
        <is>
          <t>VENEZUELANOS</t>
        </is>
      </c>
      <c r="F2050" t="inlineStr">
        <is>
          <t>MANAUS</t>
        </is>
      </c>
      <c r="G2050" t="inlineStr">
        <is>
          <t>SILANE SOUZA</t>
        </is>
      </c>
      <c r="H2050" t="inlineStr">
        <is>
          <t>APÓS 10 DIAS, CAMPANHA VACINOU APENAS 5,14% DO PÚBLICO-ALVO DA POLIOMIELITE NO AM</t>
        </is>
      </c>
      <c r="I2050" t="inlineStr">
        <is>
          <t>A META PARA A CAMPANHA NACIONAL DE VACINAÇÃO CONTRA POLIOMIELITE E SARAMPO É IMUNIZAR 95% DAS CRIANÇAS DE SEIS MESES A MENORES DE CINCO ANOS. MENOS DA METADE DO PÚBLICO-ALVO DO SARAMPO FOI ALCANÇADO</t>
        </is>
      </c>
      <c r="J2050">
        <f>HYPERLINK("https://www.acritica.com/manaus/apos-10-dias-campanha-vacinou-apenas-5-14-do-publico-alvo-da-poliomielite-no-am-1.193918", "URL")</f>
        <v/>
      </c>
      <c r="K2050">
        <f>HYPERLINK("https://raw.githubusercontent.com/marcosmapl/dataset_imigrantes/main/noticias_filtered/a_critica/venezuelanos/2018/07_ago/html/1.193918_647.html", "HTML")</f>
        <v/>
      </c>
      <c r="L2050">
        <f>HYPERLINK("https://raw.githubusercontent.com/marcosmapl/dataset_imigrantes/main/noticias_filtered/a_critica/venezuelanos/2018/07_ago/txt/1.193918_647.txt", "TXT")</f>
        <v/>
      </c>
    </row>
    <row r="2051">
      <c r="A2051" s="1" t="n">
        <v>2049</v>
      </c>
      <c r="B2051" t="n">
        <v>2018</v>
      </c>
      <c r="C2051" s="2" t="n">
        <v>43326.67458403935</v>
      </c>
      <c r="D2051" t="inlineStr">
        <is>
          <t>G1</t>
        </is>
      </c>
      <c r="E2051" t="inlineStr">
        <is>
          <t>VENEZUELANOS</t>
        </is>
      </c>
      <c r="F2051" t="inlineStr">
        <is>
          <t>MUNDO</t>
        </is>
      </c>
      <c r="G2051" t="inlineStr">
        <is>
          <t>FRANCE PRESSE</t>
        </is>
      </c>
      <c r="H2051" t="inlineStr">
        <is>
          <t>GENERAL VENEZUELANO É DETIDO POR SUSPEITA DE ENVOLVIMENTO EM SUPOSTO ATENTADO CONTRA MADURO</t>
        </is>
      </c>
      <c r="I2051" t="inlineStr">
        <is>
          <t>GENERAL DE DIVISÃO DA GUARDA NACIONAL BOLIVARIANA ALEJANDRO PÉREZ GÁMEZ E OUTROS SUSPEITOS FORAM PRESOS. DISCURSO DE NICOLÁS MADURO FOI INTERROMPIDO EM 4 DE AGOSTO POR DUAS EXPLOSÕES QUE TERIAM SIDO CAUSADAS POR DRONES.</t>
        </is>
      </c>
      <c r="J2051">
        <f>HYPERLINK("https://g1.globo.com/mundo/noticia/2018/08/14/general-venezuelano-e-detido-por-suspeita-de-envolvimento-em-suposto-atentado-contra-maduro.ghtml", "URL")</f>
        <v/>
      </c>
      <c r="K2051">
        <f>HYPERLINK("https://raw.githubusercontent.com/marcosmapl/dataset_imigrantes/main/noticias_filtered/g1/venezuelanos/2018/07_ago/html/g1_6f48de4a-231c-11ed-b24f-6dbe51e79fca_3446.html", "HTML")</f>
        <v/>
      </c>
      <c r="L2051">
        <f>HYPERLINK("https://raw.githubusercontent.com/marcosmapl/dataset_imigrantes/main/noticias_filtered/g1/venezuelanos/2018/07_ago/txt/g1_6f48de4a-231c-11ed-b24f-6dbe51e79fca_3446.txt", "TXT")</f>
        <v/>
      </c>
    </row>
    <row r="2052">
      <c r="A2052" s="1" t="n">
        <v>2050</v>
      </c>
      <c r="B2052" t="n">
        <v>2018</v>
      </c>
      <c r="C2052" s="2" t="n">
        <v>43326.50138888889</v>
      </c>
      <c r="D2052" t="inlineStr">
        <is>
          <t>PORTAL AMAZONIA</t>
        </is>
      </c>
      <c r="E2052" t="inlineStr">
        <is>
          <t>VENEZUELANOS</t>
        </is>
      </c>
      <c r="F2052" t="inlineStr">
        <is>
          <t>CIDADES</t>
        </is>
      </c>
      <c r="G2052" t="inlineStr">
        <is>
          <t>REDAÇÃO</t>
        </is>
      </c>
      <c r="H2052" t="inlineStr">
        <is>
          <t>PF DESARTICULA NOVA FASE DE OPERAÇÃO PARA COMBATER DESVIO DE RECURSOS EM RORAIMA</t>
        </is>
      </c>
      <c r="I2052" t="inlineStr">
        <is>
          <t>A POLÍCIA FEDERAL REALIZOU NESTA SEGUNDA-FEIRA (13), EM RORAIMA, UMA OPERAÇÃO PARA DESARTICULAR UMA ORGANIZAÇÃO CRIMINOSA SUPOSTAMENTE RESPONSÁVEL POR DESVIO DE RECURSOS PÚBLICOS FEDERAIS, LAVAGEM DE DINHEIRO E FRAUDE A LICITAÇÃO. POLICIAIS FEDERAIS</t>
        </is>
      </c>
      <c r="J2052">
        <f>HYPERLINK("https://portalamazonia.com/noticias/cidades/pf-desarticula-nova-fase-de-operacao-para-combater-desvio-de-recursos-em-roraima", "URL")</f>
        <v/>
      </c>
      <c r="K2052">
        <f>HYPERLINK("https://raw.githubusercontent.com/marcosmapl/dataset_imigrantes/main/noticias_filtered/portal_amazonia/venezuelanos/2018/07_ago/html/15443.15443_1558.html", "HTML")</f>
        <v/>
      </c>
      <c r="L2052">
        <f>HYPERLINK("https://raw.githubusercontent.com/marcosmapl/dataset_imigrantes/main/noticias_filtered/portal_amazonia/venezuelanos/2018/07_ago/txt/15443.15443_1558.txt", "TXT")</f>
        <v/>
      </c>
    </row>
    <row r="2053">
      <c r="A2053" s="1" t="n">
        <v>2051</v>
      </c>
      <c r="B2053" t="n">
        <v>2018</v>
      </c>
      <c r="C2053" s="2" t="n">
        <v>43324.74433297454</v>
      </c>
      <c r="D2053" t="inlineStr">
        <is>
          <t>G1</t>
        </is>
      </c>
      <c r="E2053" t="inlineStr">
        <is>
          <t>VENEZUELANOS</t>
        </is>
      </c>
      <c r="F2053" t="inlineStr">
        <is>
          <t>RORAIMA</t>
        </is>
      </c>
      <c r="G2053" t="inlineStr">
        <is>
          <t>G1 RR — BOA VISTA</t>
        </is>
      </c>
      <c r="H2053" t="inlineStr">
        <is>
          <t>DUPLA É PRESA APÓS ROUBAR CELULAR E BATER EM VENEZUELANA DURANTE ASSALTO NA ZONA OESTE DE BOA VISTA</t>
        </is>
      </c>
      <c r="I2053" t="inlineStr">
        <is>
          <t>UM DOS SUSPEITOS É EX-PRESIDIÁRIO E SAIU DA PENITENCIÁRIA AGRÍCOLA NA ÚLTIMA QUINTA (9).</t>
        </is>
      </c>
      <c r="J2053">
        <f>HYPERLINK("https://g1.globo.com/rr/roraima/noticia/2018/08/12/dupla-e-presa-apos-roubar-celular-e-bater-em-venezuelana-durante-assalto-na-zona-oeste-de-boa-vista.ghtml", "URL")</f>
        <v/>
      </c>
      <c r="K2053">
        <f>HYPERLINK("https://raw.githubusercontent.com/marcosmapl/dataset_imigrantes/main/noticias_filtered/g1/venezuelanos/2018/07_ago/html/g1_827f5e16-231d-11ed-b24f-6dbe51e79fca_3505.html", "HTML")</f>
        <v/>
      </c>
      <c r="L2053">
        <f>HYPERLINK("https://raw.githubusercontent.com/marcosmapl/dataset_imigrantes/main/noticias_filtered/g1/venezuelanos/2018/07_ago/txt/g1_827f5e16-231d-11ed-b24f-6dbe51e79fca_3505.txt", "TXT")</f>
        <v/>
      </c>
    </row>
    <row r="2054">
      <c r="A2054" s="1" t="n">
        <v>2052</v>
      </c>
      <c r="B2054" t="n">
        <v>2018</v>
      </c>
      <c r="C2054" s="2" t="n">
        <v>43322.79527730324</v>
      </c>
      <c r="D2054" t="inlineStr">
        <is>
          <t>G1</t>
        </is>
      </c>
      <c r="E2054" t="inlineStr">
        <is>
          <t>AMBOS</t>
        </is>
      </c>
      <c r="F2054" t="inlineStr">
        <is>
          <t>MATO GROSSO</t>
        </is>
      </c>
      <c r="G2054" t="inlineStr">
        <is>
          <t>LIDIANE MORAES, G1 MT</t>
        </is>
      </c>
      <c r="H2054" t="inlineStr">
        <is>
          <t>MT ACOLHEU 3.556 HAITIANOS E VENEZUELANOS NOS ÚLTIMOS 8 ANOS, DIZ RELATÓRIO</t>
        </is>
      </c>
      <c r="I2054" t="inlineStr">
        <is>
          <t>DE 2010 A 2018, MATO GROSSO RECEBEU MAIS DE 3,5 MIL HAITIANOS. SOMENTE EM 2018, 119 VENEZUELANOS FORAM ACOLHIDOS NO ESTADO.</t>
        </is>
      </c>
      <c r="J2054">
        <f>HYPERLINK("https://g1.globo.com/mt/mato-grosso/noticia/2018/08/10/mt-acolheu-3556-haitianos-e-venezuelanos-nos-ultimos-8-anos-diz-relatorio.ghtml", "URL")</f>
        <v/>
      </c>
      <c r="K2054">
        <f>HYPERLINK("https://raw.githubusercontent.com/marcosmapl/dataset_imigrantes/main/noticias_filtered/g1/ambos/2018/07_ago/html/g1_89f50760-22f8-11ed-b24f-6dbe51e79fca_2141.html", "HTML")</f>
        <v/>
      </c>
      <c r="L2054">
        <f>HYPERLINK("https://raw.githubusercontent.com/marcosmapl/dataset_imigrantes/main/noticias_filtered/g1/ambos/2018/07_ago/txt/g1_89f50760-22f8-11ed-b24f-6dbe51e79fca_2141.txt", "TXT")</f>
        <v/>
      </c>
    </row>
    <row r="2055">
      <c r="A2055" s="1" t="n">
        <v>2053</v>
      </c>
      <c r="B2055" t="n">
        <v>2018</v>
      </c>
      <c r="C2055" s="2" t="n">
        <v>43321.68513677084</v>
      </c>
      <c r="D2055" t="inlineStr">
        <is>
          <t>G1</t>
        </is>
      </c>
      <c r="E2055" t="inlineStr">
        <is>
          <t>VENEZUELANOS</t>
        </is>
      </c>
      <c r="F2055" t="inlineStr">
        <is>
          <t>RORAIMA</t>
        </is>
      </c>
      <c r="G2055" t="inlineStr">
        <is>
          <t>G1 RR — BOA VISTA</t>
        </is>
      </c>
      <c r="H2055" t="inlineStr">
        <is>
          <t>ESPETÁCULO DE DANÇA RETRATA IMIGRAÇÃO VENEZUELANA PARA RORAIMA</t>
        </is>
      </c>
      <c r="I2055" t="inlineStr">
        <is>
          <t>APRESENTAÇÃO SERÁ ÀS 20H DE SEXTA (10) NO TEATRO SESC MECEJANA. ENTRADA É 1KG DE ALIMENTO NÃO PERECÍVEL.</t>
        </is>
      </c>
      <c r="J2055">
        <f>HYPERLINK("https://g1.globo.com/rr/roraima/noticia/2018/08/09/espetaculo-de-danca-retrata-imigracao-venezuelana-para-roraima.ghtml", "URL")</f>
        <v/>
      </c>
      <c r="K2055">
        <f>HYPERLINK("https://raw.githubusercontent.com/marcosmapl/dataset_imigrantes/main/noticias_filtered/g1/venezuelanos/2018/07_ago/html/g1_be7da8d4-231b-11ed-b24f-6dbe51e79fca_3404.html", "HTML")</f>
        <v/>
      </c>
      <c r="L2055">
        <f>HYPERLINK("https://raw.githubusercontent.com/marcosmapl/dataset_imigrantes/main/noticias_filtered/g1/venezuelanos/2018/07_ago/txt/g1_be7da8d4-231b-11ed-b24f-6dbe51e79fca_3404.txt", "TXT")</f>
        <v/>
      </c>
    </row>
    <row r="2056">
      <c r="A2056" s="1" t="n">
        <v>2054</v>
      </c>
      <c r="B2056" t="n">
        <v>2018</v>
      </c>
      <c r="C2056" s="2" t="n">
        <v>43320.9485644676</v>
      </c>
      <c r="D2056" t="inlineStr">
        <is>
          <t>G1</t>
        </is>
      </c>
      <c r="E2056" t="inlineStr">
        <is>
          <t>VENEZUELANOS</t>
        </is>
      </c>
      <c r="F2056" t="inlineStr">
        <is>
          <t>RORAIMA</t>
        </is>
      </c>
      <c r="G2056" t="inlineStr">
        <is>
          <t>G1 RR</t>
        </is>
      </c>
      <c r="H2056" t="inlineStr">
        <is>
          <t>CORPO ENCONTRADO DECAPITADO NO ANEL VIÁRIO, EM BOA VISTA, ERA DE ADOLESCENTE VENEZUELANO</t>
        </is>
      </c>
      <c r="I2056" t="inlineStr">
        <is>
          <t>MOISÉS ERNANDEZ, DE 17 ANOS, TINHA VÁRIAS PERFURAÇÕES NA FACE, SEGUNDO A PM. A POLÍCIA IDENTIFICOU AS SIGLAS DE DUAS FACÇÕES RIVAIS FEITAS NO CHÃO, AO LADO DO CORPO.</t>
        </is>
      </c>
      <c r="J2056">
        <f>HYPERLINK("https://g1.globo.com/rr/roraima/noticia/2018/08/08/corpo-encontrado-decapitado-no-anel-viario-em-boa-vista-era-de-adolescente-venezuelano.ghtml", "URL")</f>
        <v/>
      </c>
      <c r="K2056">
        <f>HYPERLINK("https://raw.githubusercontent.com/marcosmapl/dataset_imigrantes/main/noticias_filtered/g1/venezuelanos/2018/07_ago/html/g1_3daa2fc6-2310-11ed-b24f-6dbe51e79fca_2848.html", "HTML")</f>
        <v/>
      </c>
      <c r="L2056">
        <f>HYPERLINK("https://raw.githubusercontent.com/marcosmapl/dataset_imigrantes/main/noticias_filtered/g1/venezuelanos/2018/07_ago/txt/g1_3daa2fc6-2310-11ed-b24f-6dbe51e79fca_2848.txt", "TXT")</f>
        <v/>
      </c>
    </row>
    <row r="2057">
      <c r="A2057" s="1" t="n">
        <v>2055</v>
      </c>
      <c r="B2057" t="n">
        <v>2018</v>
      </c>
      <c r="C2057" s="2" t="n">
        <v>43320.90878945602</v>
      </c>
      <c r="D2057" t="inlineStr">
        <is>
          <t>G1</t>
        </is>
      </c>
      <c r="E2057" t="inlineStr">
        <is>
          <t>VENEZUELANOS</t>
        </is>
      </c>
      <c r="F2057" t="inlineStr">
        <is>
          <t>AMAPÁ</t>
        </is>
      </c>
      <c r="G2057" t="inlineStr">
        <is>
          <t>G1 AP — MACAPÁ</t>
        </is>
      </c>
      <c r="H2057" t="inlineStr">
        <is>
          <t>VENEZUELANO PRESO EM HOSPITAL DO AP TINHA MAIS DE 1 QUILO DE COCAÍNA NO ESTÔMAGO</t>
        </is>
      </c>
      <c r="I2057" t="inlineStr">
        <is>
          <t>ESTRANGEIRO PRETENDIA IR PARA A EUROPA, MAS PASSOU MAL E DECIDIU PARAR EM MACAPÁ EM BUSCA DE AJUDA MÉDICA. A DROGA FOI EXTRAÍDA E ELE FOI PRESO PELA POLÍCIA FEDERAL.</t>
        </is>
      </c>
      <c r="J2057">
        <f>HYPERLINK("https://g1.globo.com/ap/amapa/noticia/2018/08/08/venezuelano-preso-em-hospital-do-ap-tinha-mais-de-1-quilo-de-cocaina-no-estomago.ghtml", "URL")</f>
        <v/>
      </c>
      <c r="K2057">
        <f>HYPERLINK("https://raw.githubusercontent.com/marcosmapl/dataset_imigrantes/main/noticias_filtered/g1/venezuelanos/2018/07_ago/html/g1_18763522-2326-11ed-b24f-6dbe51e79fca_3954.html", "HTML")</f>
        <v/>
      </c>
      <c r="L2057">
        <f>HYPERLINK("https://raw.githubusercontent.com/marcosmapl/dataset_imigrantes/main/noticias_filtered/g1/venezuelanos/2018/07_ago/txt/g1_18763522-2326-11ed-b24f-6dbe51e79fca_3954.txt", "TXT")</f>
        <v/>
      </c>
    </row>
    <row r="2058">
      <c r="A2058" s="1" t="n">
        <v>2056</v>
      </c>
      <c r="B2058" t="n">
        <v>2018</v>
      </c>
      <c r="C2058" s="2" t="n">
        <v>43320.64149305555</v>
      </c>
      <c r="D2058" t="inlineStr">
        <is>
          <t>A CRITICA</t>
        </is>
      </c>
      <c r="E2058" t="inlineStr">
        <is>
          <t>VENEZUELANOS</t>
        </is>
      </c>
      <c r="F2058" t="inlineStr"/>
      <c r="G2058" t="inlineStr">
        <is>
          <t>CAROLINA GONÇALVES -  AGÊNCIA BRASIL</t>
        </is>
      </c>
      <c r="H2058" t="inlineStr">
        <is>
          <t>JUNGMANN: NÃO É MOMENTO DE O BRASIL VIRAR AS COSTAS A VENEZUELANOS</t>
        </is>
      </c>
      <c r="I2058" t="inlineStr">
        <is>
          <t>JUNGMANN LEMBROU QUE O BRASIL É UM PAÍS DE IMIGRANTES E QUE OS VENEZUELANOS ESTÃO VIVENDO UMA SITUAÇÃO DIFICIL. PARA ELE, NÃO É O MOMENTO DE O BRASIL VIRAR AS COSTAS</t>
        </is>
      </c>
      <c r="J2058">
        <f>HYPERLINK("https://www.acritica.com/jungmann-n-o-e-momento-de-o-brasil-virar-as-costas-a-venezuelanos-1.84605", "URL")</f>
        <v/>
      </c>
      <c r="K2058">
        <f>HYPERLINK("https://raw.githubusercontent.com/marcosmapl/dataset_imigrantes/main/noticias_filtered/a_critica/venezuelanos/2018/07_ago/html/1.84605_1146.html", "HTML")</f>
        <v/>
      </c>
      <c r="L2058">
        <f>HYPERLINK("https://raw.githubusercontent.com/marcosmapl/dataset_imigrantes/main/noticias_filtered/a_critica/venezuelanos/2018/07_ago/txt/1.84605_1146.txt", "TXT")</f>
        <v/>
      </c>
    </row>
    <row r="2059">
      <c r="A2059" s="1" t="n">
        <v>2057</v>
      </c>
      <c r="B2059" t="n">
        <v>2018</v>
      </c>
      <c r="C2059" s="2" t="n">
        <v>43319.86818287037</v>
      </c>
      <c r="D2059" t="inlineStr">
        <is>
          <t>A CRITICA</t>
        </is>
      </c>
      <c r="E2059" t="inlineStr">
        <is>
          <t>VENEZUELANOS</t>
        </is>
      </c>
      <c r="F2059" t="inlineStr"/>
      <c r="G2059" t="inlineStr">
        <is>
          <t>AGÊNCIA BRASIL</t>
        </is>
      </c>
      <c r="H2059" t="inlineStr">
        <is>
          <t>PGR DEFENDE ANULAÇÃO DO DECRETO DE RORAIMA SOBRE ENTRADA DE VENEZUELANOS NO BRASIL</t>
        </is>
      </c>
      <c r="I2059" t="inlineStr">
        <is>
          <t>SEGUNDO A PROCURADORA-GERAL, RAQUEL DODGE, O DECRETO AFRONTA OBRIGAÇÕES INTERNACIONAIS ASSUMIDAS PELO BRASIL NA ÁREA DE DIREITOS HUMANOS E NA PROTEÇÃO DE REFUGIADOS</t>
        </is>
      </c>
      <c r="J2059">
        <f>HYPERLINK("https://www.acritica.com/pgr-defende-anulac-o-do-decreto-de-roraima-sobre-entrada-de-venezuelanos-no-brasil-1.193219", "URL")</f>
        <v/>
      </c>
      <c r="K2059">
        <f>HYPERLINK("https://raw.githubusercontent.com/marcosmapl/dataset_imigrantes/main/noticias_filtered/a_critica/venezuelanos/2018/07_ago/html/1.193219_162.html", "HTML")</f>
        <v/>
      </c>
      <c r="L2059">
        <f>HYPERLINK("https://raw.githubusercontent.com/marcosmapl/dataset_imigrantes/main/noticias_filtered/a_critica/venezuelanos/2018/07_ago/txt/1.193219_162.txt", "TXT")</f>
        <v/>
      </c>
    </row>
    <row r="2060">
      <c r="A2060" s="1" t="n">
        <v>2058</v>
      </c>
      <c r="B2060" t="n">
        <v>2018</v>
      </c>
      <c r="C2060" s="2" t="n">
        <v>43319.83543981481</v>
      </c>
      <c r="D2060" t="inlineStr">
        <is>
          <t>A CRITICA</t>
        </is>
      </c>
      <c r="E2060" t="inlineStr">
        <is>
          <t>VENEZUELANOS</t>
        </is>
      </c>
      <c r="F2060" t="inlineStr">
        <is>
          <t>MANAUS</t>
        </is>
      </c>
      <c r="G2060" t="inlineStr">
        <is>
          <t>ACRÍTICA.COM</t>
        </is>
      </c>
      <c r="H2060" t="inlineStr">
        <is>
          <t>SECRETARIA ANUNCIA SELETIVO COM VAGAS DE EMPREGO PARA ABRIGOS DE VENEZUELANOS</t>
        </is>
      </c>
      <c r="I2060" t="inlineStr">
        <is>
          <t>SERÃO CONTRATADOS ASSISTENTES SOCIAIS, PSICÓLOGOS, TRADUTORES, AUXILIARES ADMINISTRATIVOS E ANTROPÓLOGO PARA ATUAR EM TRÊS CASAS DE ACOLHIMENTO EM MANAUS</t>
        </is>
      </c>
      <c r="J2060">
        <f>HYPERLINK("https://www.acritica.com/manaus/secretaria-anuncia-seletivo-com-vagas-de-emprego-para-abrigos-de-venezuelanos-1.84657", "URL")</f>
        <v/>
      </c>
      <c r="K2060">
        <f>HYPERLINK("https://raw.githubusercontent.com/marcosmapl/dataset_imigrantes/main/noticias_filtered/a_critica/venezuelanos/2018/07_ago/html/1.84657_1374.html", "HTML")</f>
        <v/>
      </c>
      <c r="L2060">
        <f>HYPERLINK("https://raw.githubusercontent.com/marcosmapl/dataset_imigrantes/main/noticias_filtered/a_critica/venezuelanos/2018/07_ago/txt/1.84657_1374.txt", "TXT")</f>
        <v/>
      </c>
    </row>
    <row r="2061">
      <c r="A2061" s="1" t="n">
        <v>2059</v>
      </c>
      <c r="B2061" t="n">
        <v>2018</v>
      </c>
      <c r="C2061" s="2" t="n">
        <v>43319.57068138889</v>
      </c>
      <c r="D2061" t="inlineStr">
        <is>
          <t>G1</t>
        </is>
      </c>
      <c r="E2061" t="inlineStr">
        <is>
          <t>VENEZUELANOS</t>
        </is>
      </c>
      <c r="F2061" t="inlineStr">
        <is>
          <t>RORAIMA</t>
        </is>
      </c>
      <c r="G2061" t="inlineStr">
        <is>
          <t>G1 RR</t>
        </is>
      </c>
      <c r="H2061" t="inlineStr">
        <is>
          <t>VENEZUELANO É ASSASSINADO COM GOLPE DE FACA ENQUANTO DORMIA EM BOA VISTA</t>
        </is>
      </c>
      <c r="I2061" t="inlineStr">
        <is>
          <t>ALÉM DELE, UMA JOVEM QUE TAMBÉM É IMIGRANTE FOI FERIDA PELOS AGRESSORES. DOIS SUSPEITOS FORAM PRESOS PELA POLÍCIA MILITAR.</t>
        </is>
      </c>
      <c r="J2061">
        <f>HYPERLINK("https://g1.globo.com/rr/roraima/noticia/2018/08/07/venezuelano-e-assassinado-com-golpe-de-faca-enquanto-dormia-em-boa-vista.ghtml", "URL")</f>
        <v/>
      </c>
      <c r="K2061">
        <f>HYPERLINK("https://raw.githubusercontent.com/marcosmapl/dataset_imigrantes/main/noticias_filtered/g1/venezuelanos/2018/07_ago/html/g1_5a9d7170-2319-11ed-b24f-6dbe51e79fca_3312.html", "HTML")</f>
        <v/>
      </c>
      <c r="L2061">
        <f>HYPERLINK("https://raw.githubusercontent.com/marcosmapl/dataset_imigrantes/main/noticias_filtered/g1/venezuelanos/2018/07_ago/txt/g1_5a9d7170-2319-11ed-b24f-6dbe51e79fca_3312.txt", "TXT")</f>
        <v/>
      </c>
    </row>
    <row r="2062">
      <c r="A2062" s="1" t="n">
        <v>2060</v>
      </c>
      <c r="B2062" t="n">
        <v>2018</v>
      </c>
      <c r="C2062" s="2" t="n">
        <v>43319.53836805555</v>
      </c>
      <c r="D2062" t="inlineStr">
        <is>
          <t>A CRITICA</t>
        </is>
      </c>
      <c r="E2062" t="inlineStr">
        <is>
          <t>VENEZUELANOS</t>
        </is>
      </c>
      <c r="F2062" t="inlineStr"/>
      <c r="G2062" t="inlineStr">
        <is>
          <t>AGÊNCIA BRASIL</t>
        </is>
      </c>
      <c r="H2062" t="inlineStr">
        <is>
          <t>SUPREMO INDEFERE PEDIDO PARA FECHAR A FRONTEIRA DO BRASIL COM A VENEZUELA</t>
        </is>
      </c>
      <c r="I2062" t="inlineStr">
        <is>
          <t>A MINISTRA ROSA WEBER TOMOU DECISÃO CONTRÁRIA AO PEDIDO FORMULADO PELO GOVERNO DE RORAIMA PARA FECHAMENTO DA FRONTEIRA</t>
        </is>
      </c>
      <c r="J2062">
        <f>HYPERLINK("https://www.acritica.com/supremo-indefere-pedido-para-fechar-a-fronteira-do-brasil-com-a-venezuela-1.84707", "URL")</f>
        <v/>
      </c>
      <c r="K2062">
        <f>HYPERLINK("https://raw.githubusercontent.com/marcosmapl/dataset_imigrantes/main/noticias_filtered/a_critica/venezuelanos/2018/07_ago/html/1.84707_723.html", "HTML")</f>
        <v/>
      </c>
      <c r="L2062">
        <f>HYPERLINK("https://raw.githubusercontent.com/marcosmapl/dataset_imigrantes/main/noticias_filtered/a_critica/venezuelanos/2018/07_ago/txt/1.84707_723.txt", "TXT")</f>
        <v/>
      </c>
    </row>
    <row r="2063">
      <c r="A2063" s="1" t="n">
        <v>2061</v>
      </c>
      <c r="B2063" t="n">
        <v>2018</v>
      </c>
      <c r="C2063" s="2" t="n">
        <v>43318.71465886574</v>
      </c>
      <c r="D2063" t="inlineStr">
        <is>
          <t>G1</t>
        </is>
      </c>
      <c r="E2063" t="inlineStr">
        <is>
          <t>VENEZUELANOS</t>
        </is>
      </c>
      <c r="F2063" t="inlineStr">
        <is>
          <t>PERNAMBUCO</t>
        </is>
      </c>
      <c r="G2063" t="inlineStr">
        <is>
          <t>ALLAN NASCIMENTO, G1 PE</t>
        </is>
      </c>
      <c r="H2063" t="inlineStr">
        <is>
          <t>CRIANÇAS VENEZUELANAS TÊM PRIMEIRO DIA DE AULAS EM IGARASSU, EM PE</t>
        </is>
      </c>
      <c r="I2063" t="inlineStr">
        <is>
          <t>FILHOS DE REFUGIADOS QUE CHEGARAM A PERNAMBUCO HÁ UM MÊS, ALUNOS VÃO ESTUDAR JUNTOS, EM UMA TURMA ESPECIAL, ATÉ O FIM DO ANO, PARA GANHAR FAMILIARIDADE COM O IDIOMA.</t>
        </is>
      </c>
      <c r="J2063">
        <f>HYPERLINK("https://g1.globo.com/pe/pernambuco/noticia/2018/08/06/criancas-venezuelanas-tem-primeiro-dia-de-aulas-em-igarassu-em-pe.ghtml", "URL")</f>
        <v/>
      </c>
      <c r="K2063">
        <f>HYPERLINK("https://raw.githubusercontent.com/marcosmapl/dataset_imigrantes/main/noticias_filtered/g1/venezuelanos/2018/07_ago/html/g1_be3ebfd4-2325-11ed-b24f-6dbe51e79fca_3932.html", "HTML")</f>
        <v/>
      </c>
      <c r="L2063">
        <f>HYPERLINK("https://raw.githubusercontent.com/marcosmapl/dataset_imigrantes/main/noticias_filtered/g1/venezuelanos/2018/07_ago/txt/g1_be3ebfd4-2325-11ed-b24f-6dbe51e79fca_3932.txt", "TXT")</f>
        <v/>
      </c>
    </row>
    <row r="2064">
      <c r="A2064" s="1" t="n">
        <v>2062</v>
      </c>
      <c r="B2064" t="n">
        <v>2018</v>
      </c>
      <c r="C2064" s="2" t="n">
        <v>43318.69652777778</v>
      </c>
      <c r="D2064" t="inlineStr">
        <is>
          <t>A CRITICA</t>
        </is>
      </c>
      <c r="E2064" t="inlineStr">
        <is>
          <t>VENEZUELANOS</t>
        </is>
      </c>
      <c r="F2064" t="inlineStr"/>
      <c r="G2064" t="inlineStr">
        <is>
          <t>PEDRO PEDUZZI (AGÊNCIA BRASIL)</t>
        </is>
      </c>
      <c r="H2064" t="inlineStr">
        <is>
          <t>JUIZ SUSPENDE ENTRADA DE VENEZUELANOS NO BRASIL PELA FRONTEIRA COM RORAIMA</t>
        </is>
      </c>
      <c r="I2064" t="inlineStr">
        <is>
          <t>DECRETO ASSINADO PELA GOVERNADORA, SUELY CAMPOS, PERMITE QUE AUTORIDADES ESTADUAIS CONTROLEM A ENTRADA NAS FRONTEIRAS. EM ENTREVISTA, ELA AFIRMA QUE VAI LIMITAR O ACESSO A SERVIÇOS DE SAÚDE, COMO HOSPITAIS</t>
        </is>
      </c>
      <c r="J2064">
        <f>HYPERLINK("https://www.acritica.com/juiz-suspende-entrada-de-venezuelanos-no-brasil-pela-fronteira-com-roraima-1.84769", "URL")</f>
        <v/>
      </c>
      <c r="K2064">
        <f>HYPERLINK("https://raw.githubusercontent.com/marcosmapl/dataset_imigrantes/main/noticias_filtered/a_critica/venezuelanos/2018/07_ago/html/1.84769_493.html", "HTML")</f>
        <v/>
      </c>
      <c r="L2064">
        <f>HYPERLINK("https://raw.githubusercontent.com/marcosmapl/dataset_imigrantes/main/noticias_filtered/a_critica/venezuelanos/2018/07_ago/txt/1.84769_493.txt", "TXT")</f>
        <v/>
      </c>
    </row>
    <row r="2065">
      <c r="A2065" s="1" t="n">
        <v>2063</v>
      </c>
      <c r="B2065" t="n">
        <v>2018</v>
      </c>
      <c r="C2065" s="2" t="n">
        <v>43316.75121527778</v>
      </c>
      <c r="D2065" t="inlineStr">
        <is>
          <t>A CRITICA</t>
        </is>
      </c>
      <c r="E2065" t="inlineStr">
        <is>
          <t>VENEZUELANOS</t>
        </is>
      </c>
      <c r="F2065" t="inlineStr"/>
      <c r="G2065" t="inlineStr">
        <is>
          <t>AGÊNCIA BRASIL</t>
        </is>
      </c>
      <c r="H2065" t="inlineStr">
        <is>
          <t>AGU PEDE SUSPENSÃO DO DECRETO DO GOVERNO DE RORAIMA SOBRE IMIGRANTES</t>
        </is>
      </c>
      <c r="I2065" t="inlineStr">
        <is>
          <t>O ÓRGÃO PEDE A SUSPENSÃO DO DECRETO QUE DETERMINA AUMENTO DE RIGOR DA SEGURANÇA PÚBLICA E DA VIGILÂNCIA DAS FORÇAS POLICIAIS NA FRONTEIRA COM A VENEZUELA</t>
        </is>
      </c>
      <c r="J2065">
        <f>HYPERLINK("https://www.acritica.com/agu-pede-suspens-o-do-decreto-do-governo-de-roraima-sobre-imigrantes-1.84837", "URL")</f>
        <v/>
      </c>
      <c r="K2065">
        <f>HYPERLINK("https://raw.githubusercontent.com/marcosmapl/dataset_imigrantes/main/noticias_filtered/a_critica/venezuelanos/2018/07_ago/html/1.84837_333.html", "HTML")</f>
        <v/>
      </c>
      <c r="L2065">
        <f>HYPERLINK("https://raw.githubusercontent.com/marcosmapl/dataset_imigrantes/main/noticias_filtered/a_critica/venezuelanos/2018/07_ago/txt/1.84837_333.txt", "TXT")</f>
        <v/>
      </c>
    </row>
    <row r="2066">
      <c r="A2066" s="1" t="n">
        <v>2064</v>
      </c>
      <c r="B2066" t="n">
        <v>2018</v>
      </c>
      <c r="C2066" s="2" t="n">
        <v>43315.9455259375</v>
      </c>
      <c r="D2066" t="inlineStr">
        <is>
          <t>G1</t>
        </is>
      </c>
      <c r="E2066" t="inlineStr">
        <is>
          <t>HAITIANOS</t>
        </is>
      </c>
      <c r="F2066" t="inlineStr">
        <is>
          <t>MATO GROSSO DO SUL</t>
        </is>
      </c>
      <c r="G2066" t="inlineStr">
        <is>
          <t>GABRIELA PRADO, TV MORENA</t>
        </is>
      </c>
      <c r="H2066" t="inlineStr">
        <is>
          <t>CORUMBÁ PODE DECRETAR SITUAÇÃO DE EMERGÊNCIA DEVIDO A IMIGRAÇÃO DE HAITIANOS PELA FRONTEIRA COM A BOLÍVIA</t>
        </is>
      </c>
      <c r="I2066" t="inlineStr">
        <is>
          <t>DURANTE AUDIÊNCIA PÚBLICA NA TARDE DESTA SEXTA-FEIRA (3) FOI CRIADO UM PLANO DE AÇÃO PARA ATENDER A IMIGRAÇÃO.</t>
        </is>
      </c>
      <c r="J2066">
        <f>HYPERLINK("https://g1.globo.com/ms/mato-grosso-do-sul/noticia/2018/08/03/corumba-pode-decretar-situacao-de-emergencia-devido-a-imigracao-de-haitianos-pela-fronteira-com-a-bolivia.ghtml", "URL")</f>
        <v/>
      </c>
      <c r="K2066">
        <f>HYPERLINK("https://raw.githubusercontent.com/marcosmapl/dataset_imigrantes/main/noticias_filtered/g1/haitianos/2018/07_ago/html/g1_8a50158c-22f4-11ed-b24f-6dbe51e79fca_1896.html", "HTML")</f>
        <v/>
      </c>
      <c r="L2066">
        <f>HYPERLINK("https://raw.githubusercontent.com/marcosmapl/dataset_imigrantes/main/noticias_filtered/g1/haitianos/2018/07_ago/txt/g1_8a50158c-22f4-11ed-b24f-6dbe51e79fca_1896.txt", "TXT")</f>
        <v/>
      </c>
    </row>
    <row r="2067">
      <c r="A2067" s="1" t="n">
        <v>2065</v>
      </c>
      <c r="B2067" t="n">
        <v>2018</v>
      </c>
      <c r="C2067" s="2" t="n">
        <v>43315.8549063426</v>
      </c>
      <c r="D2067" t="inlineStr">
        <is>
          <t>G1</t>
        </is>
      </c>
      <c r="E2067" t="inlineStr">
        <is>
          <t>HAITIANOS</t>
        </is>
      </c>
      <c r="F2067" t="inlineStr">
        <is>
          <t>MATO GROSSO DO SUL</t>
        </is>
      </c>
      <c r="G2067" t="inlineStr">
        <is>
          <t>CARLA SALENTIM, TV MORENA</t>
        </is>
      </c>
      <c r="H2067" t="inlineStr">
        <is>
          <t>TODOS OS HAITIANOS QUE ENTRARAM NO BRASIL POR CORUMBÁ ESTÃO ILEGAIS NO PAÍS, DIZ PF</t>
        </is>
      </c>
      <c r="I2067" t="inlineStr">
        <is>
          <t>SOMENTE ESTE ANO, A PF APONTA QUE 1.767 HAITIANOS FORAM ATENDIDOS PELO SEU SETOR DE IMIGRAÇÃO EM CORUMBÁ, SENDO 500 EM JULHO, O QUE DEMANDOU A CRIAÇÃO DE UMA FORÇA-TAREFA PARA ATENDÊ-LOS.</t>
        </is>
      </c>
      <c r="J2067">
        <f>HYPERLINK("https://g1.globo.com/ms/mato-grosso-do-sul/noticia/2018/08/03/todos-os-haitianos-que-entraram-no-brasil-por-corumba-estao-ilegais-no-pais-diz-pf.ghtml", "URL")</f>
        <v/>
      </c>
      <c r="K2067">
        <f>HYPERLINK("https://raw.githubusercontent.com/marcosmapl/dataset_imigrantes/main/noticias_filtered/g1/haitianos/2018/07_ago/html/g1_e4615978-22f9-11ed-b24f-6dbe51e79fca_2189.html", "HTML")</f>
        <v/>
      </c>
      <c r="L2067">
        <f>HYPERLINK("https://raw.githubusercontent.com/marcosmapl/dataset_imigrantes/main/noticias_filtered/g1/haitianos/2018/07_ago/txt/g1_e4615978-22f9-11ed-b24f-6dbe51e79fca_2189.txt", "TXT")</f>
        <v/>
      </c>
    </row>
    <row r="2068">
      <c r="A2068" s="1" t="n">
        <v>2066</v>
      </c>
      <c r="B2068" t="n">
        <v>2018</v>
      </c>
      <c r="C2068" s="2" t="n">
        <v>43315.48333333333</v>
      </c>
      <c r="D2068" t="inlineStr">
        <is>
          <t>PORTAL AMAZONIA</t>
        </is>
      </c>
      <c r="E2068" t="inlineStr">
        <is>
          <t>VENEZUELANOS</t>
        </is>
      </c>
      <c r="F2068" t="inlineStr">
        <is>
          <t>CIDADES</t>
        </is>
      </c>
      <c r="G2068" t="inlineStr">
        <is>
          <t>REDAÇÃO</t>
        </is>
      </c>
      <c r="H2068" t="inlineStr">
        <is>
          <t>GOVERNO QUER INVESTIGAR AS RESTRIÇÕES DE RORAIMA A VENEZUELANOS</t>
        </is>
      </c>
      <c r="I2068" t="inlineStr">
        <is>
          <t>O GOVERNO FEDERAL VAI PEDIR APURAÇÃO POR PARTE DO MINISTÉRIO PÚBLICO DAS MEDIDAS ADOTADAS PELO GOVERNO DE RORAIMA EM RELAÇÃO AO FLUXO DE IMIGRANTES VENEZUELANOS NA REGIÃO. NA ÚLTIMA QUARTA-FEIRA (1) A ADMINISTRAÇÃO ESTADUAL PUBLICOU DECRETO EM Q</t>
        </is>
      </c>
      <c r="J2068">
        <f>HYPERLINK("https://portalamazonia.com/noticias/cidades/governo-quer-investigar-as-restricoes-de-roraima-a-venezuelanos", "URL")</f>
        <v/>
      </c>
      <c r="K2068">
        <f>HYPERLINK("https://raw.githubusercontent.com/marcosmapl/dataset_imigrantes/main/noticias_filtered/portal_amazonia/venezuelanos/2018/07_ago/html/15380.15380_1489.html", "HTML")</f>
        <v/>
      </c>
      <c r="L2068">
        <f>HYPERLINK("https://raw.githubusercontent.com/marcosmapl/dataset_imigrantes/main/noticias_filtered/portal_amazonia/venezuelanos/2018/07_ago/txt/15380.15380_1489.txt", "TXT")</f>
        <v/>
      </c>
    </row>
    <row r="2069">
      <c r="A2069" s="1" t="n">
        <v>2067</v>
      </c>
      <c r="B2069" t="n">
        <v>2018</v>
      </c>
      <c r="C2069" s="2" t="n">
        <v>43314.59314994213</v>
      </c>
      <c r="D2069" t="inlineStr">
        <is>
          <t>G1</t>
        </is>
      </c>
      <c r="E2069" t="inlineStr">
        <is>
          <t>VENEZUELANOS</t>
        </is>
      </c>
      <c r="F2069" t="inlineStr">
        <is>
          <t>RORAIMA</t>
        </is>
      </c>
      <c r="G2069" t="inlineStr">
        <is>
          <t>G1 RR — BOA VISTA</t>
        </is>
      </c>
      <c r="H2069" t="inlineStr">
        <is>
          <t>CORAL FORMADO POR CRIANÇAS VENEZUELANAS SE APRESENTA PELA PRIMEIRA VEZ EM RORAIMA</t>
        </is>
      </c>
      <c r="I2069" t="inlineStr">
        <is>
          <t>GRUPO FAZ PARTE DO CANARINHOS DA AMAZÔNIA. APRESENTAÇÃO SERÁ EM PACARAIMA, ÀS 20H.</t>
        </is>
      </c>
      <c r="J2069">
        <f>HYPERLINK("https://g1.globo.com/rr/roraima/noticia/2018/08/02/coral-formado-por-criancas-venezuelanas-se-apresenta-pela-primeira-vez-em-roraima.ghtml", "URL")</f>
        <v/>
      </c>
      <c r="K2069">
        <f>HYPERLINK("https://raw.githubusercontent.com/marcosmapl/dataset_imigrantes/main/noticias_filtered/g1/venezuelanos/2018/07_ago/html/g1_7136e69e-232a-11ed-b24f-6dbe51e79fca_4180.html", "HTML")</f>
        <v/>
      </c>
      <c r="L2069">
        <f>HYPERLINK("https://raw.githubusercontent.com/marcosmapl/dataset_imigrantes/main/noticias_filtered/g1/venezuelanos/2018/07_ago/txt/g1_7136e69e-232a-11ed-b24f-6dbe51e79fca_4180.txt", "TXT")</f>
        <v/>
      </c>
    </row>
    <row r="2070">
      <c r="A2070" s="1" t="n">
        <v>2068</v>
      </c>
      <c r="B2070" t="n">
        <v>2018</v>
      </c>
      <c r="C2070" s="2" t="n">
        <v>43313.81158601852</v>
      </c>
      <c r="D2070" t="inlineStr">
        <is>
          <t>G1</t>
        </is>
      </c>
      <c r="E2070" t="inlineStr">
        <is>
          <t>HAITIANOS</t>
        </is>
      </c>
      <c r="F2070" t="inlineStr">
        <is>
          <t>MATO GROSSO DO SUL</t>
        </is>
      </c>
      <c r="G2070" t="inlineStr">
        <is>
          <t>TV MORENA</t>
        </is>
      </c>
      <c r="H2070" t="inlineStr">
        <is>
          <t>'ESTAMOS HÁ 3 DIAS SEM COMER': MORADORA DE MS ACOLHEU 300 IMIGRANTES HAITIANOS EM CASA APÓS FOTO TIRADA NA RUA</t>
        </is>
      </c>
      <c r="I2070" t="inlineStr">
        <is>
          <t>ADRIANA PEDIU PARA TIRAR UMA FOTO COM OS IMIGRANTES, OUVIU AS HISTÓRIAS, SE EMOCIONOU E ABRIU AS PORTAS DE CASA PARA RECEBÊ-LOS.</t>
        </is>
      </c>
      <c r="J2070">
        <f>HYPERLINK("https://g1.globo.com/ms/corumba-e-regiao/noticia/2018/08/01/estamos-ha-3-dias-sem-comer-moradora-de-ms-acolheu-300-imigrantes-haitianos-em-casa-apos-foto-tirada-na-rua.ghtml", "URL")</f>
        <v/>
      </c>
      <c r="K2070">
        <f>HYPERLINK("https://raw.githubusercontent.com/marcosmapl/dataset_imigrantes/main/noticias_filtered/g1/haitianos/2018/07_ago/html/g1_03a34d36-22f6-11ed-b24f-6dbe51e79fca_1987.html", "HTML")</f>
        <v/>
      </c>
      <c r="L2070">
        <f>HYPERLINK("https://raw.githubusercontent.com/marcosmapl/dataset_imigrantes/main/noticias_filtered/g1/haitianos/2018/07_ago/txt/g1_03a34d36-22f6-11ed-b24f-6dbe51e79fca_1987.txt", "TXT")</f>
        <v/>
      </c>
    </row>
    <row r="2071">
      <c r="A2071" s="1" t="n">
        <v>2069</v>
      </c>
      <c r="B2071" t="n">
        <v>2018</v>
      </c>
      <c r="C2071" s="2" t="n">
        <v>43313.54930555556</v>
      </c>
      <c r="D2071" t="inlineStr">
        <is>
          <t>PORTAL AMAZONIA</t>
        </is>
      </c>
      <c r="E2071" t="inlineStr">
        <is>
          <t>VENEZUELANOS</t>
        </is>
      </c>
      <c r="F2071" t="inlineStr">
        <is>
          <t>CIDADES</t>
        </is>
      </c>
      <c r="G2071" t="inlineStr">
        <is>
          <t>REDAÇÃO</t>
        </is>
      </c>
      <c r="H2071" t="inlineStr">
        <is>
          <t>GOVERNO DEVE AMPLIAR DISTRIBUIÇÃO DE ENERGIA EM RORAIMA</t>
        </is>
      </c>
      <c r="I2071" t="inlineStr">
        <is>
          <t>O PRESIDENTE MICHEL TEMER REUNIU NA TARDE DE HOJE (31), NO PALÁCIO DO PLANALTO, VÁRIOS INTEGRANTES DO GOVERNO PARA TRATAR DA CONSTRUÇÃO DE LINHAS DE TRANSMISSÃO QUE AMPLIARÃO A DISTRIBUIÇÃO DE ENERGIA EM RORAIMA. AS INFORMAÇÕES SÃO DA AGÊNCIA BRASIL.</t>
        </is>
      </c>
      <c r="J2071">
        <f>HYPERLINK("https://portalamazonia.com/noticias/cidades/governo-deve-ampliar-distribuicao-de-energia-em-roraima", "URL")</f>
        <v/>
      </c>
      <c r="K2071">
        <f>HYPERLINK("https://raw.githubusercontent.com/marcosmapl/dataset_imigrantes/main/noticias_filtered/portal_amazonia/venezuelanos/2018/07_ago/html/15361.15361_1618.html", "HTML")</f>
        <v/>
      </c>
      <c r="L2071">
        <f>HYPERLINK("https://raw.githubusercontent.com/marcosmapl/dataset_imigrantes/main/noticias_filtered/portal_amazonia/venezuelanos/2018/07_ago/txt/15361.15361_1618.txt", "TXT")</f>
        <v/>
      </c>
    </row>
    <row r="2072">
      <c r="A2072" s="1" t="n">
        <v>2070</v>
      </c>
      <c r="B2072" t="n">
        <v>2018</v>
      </c>
      <c r="C2072" s="2" t="n">
        <v>43312.99583333333</v>
      </c>
      <c r="D2072" t="inlineStr">
        <is>
          <t>A CRITICA</t>
        </is>
      </c>
      <c r="E2072" t="inlineStr">
        <is>
          <t>VENEZUELANOS</t>
        </is>
      </c>
      <c r="F2072" t="inlineStr"/>
      <c r="G2072" t="inlineStr">
        <is>
          <t>IZABEL GUEDES</t>
        </is>
      </c>
      <c r="H2072" t="inlineStr">
        <is>
          <t>MAIS DE 300 MIL CRIANÇAS DO AM DEVEM SER VACINADAS CONTRA A POLIOMIELITE E SARAMPO</t>
        </is>
      </c>
      <c r="I2072" t="inlineStr">
        <is>
          <t>O ESTADO DO AMAZONAS JÁ RECEBEU AS DOSES DA VACINA CONTRA A PARALISIA INFANTIL E AS AÇÕES CONTRA O SARAMPO TERÃO REFORÇO</t>
        </is>
      </c>
      <c r="J2072">
        <f>HYPERLINK("https://www.acritica.com/mais-de-300-mil-criancas-do-am-devem-ser-vacinadas-contra-a-poliomielite-e-sarampo-1.193283", "URL")</f>
        <v/>
      </c>
      <c r="K2072">
        <f>HYPERLINK("https://raw.githubusercontent.com/marcosmapl/dataset_imigrantes/main/noticias_filtered/a_critica/venezuelanos/2018/06_jul/html/1.193283_793.html", "HTML")</f>
        <v/>
      </c>
      <c r="L2072">
        <f>HYPERLINK("https://raw.githubusercontent.com/marcosmapl/dataset_imigrantes/main/noticias_filtered/a_critica/venezuelanos/2018/06_jul/txt/1.193283_793.txt", "TXT")</f>
        <v/>
      </c>
    </row>
    <row r="2073">
      <c r="A2073" s="1" t="n">
        <v>2071</v>
      </c>
      <c r="B2073" t="n">
        <v>2018</v>
      </c>
      <c r="C2073" s="2" t="n">
        <v>43312.95873909722</v>
      </c>
      <c r="D2073" t="inlineStr">
        <is>
          <t>G1</t>
        </is>
      </c>
      <c r="E2073" t="inlineStr">
        <is>
          <t>HAITIANOS</t>
        </is>
      </c>
      <c r="F2073" t="inlineStr">
        <is>
          <t>PARANÁ</t>
        </is>
      </c>
      <c r="G2073" t="inlineStr">
        <is>
          <t>G1 PR</t>
        </is>
      </c>
      <c r="H2073" t="inlineStr">
        <is>
          <t>HAITIANO É PRESO SUSPEITO DE ABUSAR SEXUALMENTE DE MENINA DE 13 ANOS</t>
        </is>
      </c>
      <c r="I2073" t="inlineStr">
        <is>
          <t>SEGUNDO A POLÍCIA CIVIL, ELE MORAVA DE FAVOR EM UMA PENSÃO NO BAIRRO SÍTIO CERCADO, EM CURITIBA, ONDE COMETIA O CRIME. ELE JÁ TINHA PASSAGEM PELA POLÍCIA NO PAÍS DELE.</t>
        </is>
      </c>
      <c r="J2073">
        <f>HYPERLINK("https://g1.globo.com/pr/parana/noticia/2018/07/31/haitiano-e-preso-suspeito-de-abusar-sexualmente-de-menina-de-13-anos.ghtml", "URL")</f>
        <v/>
      </c>
      <c r="K2073">
        <f>HYPERLINK("https://raw.githubusercontent.com/marcosmapl/dataset_imigrantes/main/noticias_filtered/g1/haitianos/2018/06_jul/html/g1_67d1f758-22f6-11ed-b24f-6dbe51e79fca_2011.html", "HTML")</f>
        <v/>
      </c>
      <c r="L2073">
        <f>HYPERLINK("https://raw.githubusercontent.com/marcosmapl/dataset_imigrantes/main/noticias_filtered/g1/haitianos/2018/06_jul/txt/g1_67d1f758-22f6-11ed-b24f-6dbe51e79fca_2011.txt", "TXT")</f>
        <v/>
      </c>
    </row>
    <row r="2074">
      <c r="A2074" s="1" t="n">
        <v>2072</v>
      </c>
      <c r="B2074" t="n">
        <v>2018</v>
      </c>
      <c r="C2074" s="2" t="n">
        <v>43312.92686554398</v>
      </c>
      <c r="D2074" t="inlineStr">
        <is>
          <t>G1</t>
        </is>
      </c>
      <c r="E2074" t="inlineStr">
        <is>
          <t>HAITIANOS</t>
        </is>
      </c>
      <c r="F2074" t="inlineStr">
        <is>
          <t>CORUMBÁ E REGIÃO</t>
        </is>
      </c>
      <c r="G2074" t="inlineStr">
        <is>
          <t>POR CARLA SALENTIM, TV MORENA</t>
        </is>
      </c>
      <c r="H2074" t="inlineStr">
        <is>
          <t>EM SEIS MESES, MAIS DE 1,3 MIL HAITIANOS ENTRAM NO BRASIL PELA FRONTEIRA DE MS COM A BOLÍVIA</t>
        </is>
      </c>
      <c r="I2074" t="inlineStr">
        <is>
          <t>SEGUNDO A POLÍCIA, CORUMBÁ SE TORNOU A NOVA ROTA DE ENTRADA ILEGAL DE ESTRANGEIROS NO BRASIL.</t>
        </is>
      </c>
      <c r="J2074">
        <f>HYPERLINK("https://g1.globo.com/ms/corumba-e-regiao/noticia/2018/07/31/em-seis-meses-mais-de-13-mil-haitianos-entram-no-brasil-pela-fronteira-de-ms-com-a-bolivia.ghtml", "URL")</f>
        <v/>
      </c>
      <c r="K2074">
        <f>HYPERLINK("https://raw.githubusercontent.com/marcosmapl/dataset_imigrantes/main/noticias_filtered/g1/haitianos/2018/06_jul/html/g1_6e6a87a2-22fa-11ed-b24f-6dbe51e79fca_2219.html", "HTML")</f>
        <v/>
      </c>
      <c r="L2074">
        <f>HYPERLINK("https://raw.githubusercontent.com/marcosmapl/dataset_imigrantes/main/noticias_filtered/g1/haitianos/2018/06_jul/txt/g1_6e6a87a2-22fa-11ed-b24f-6dbe51e79fca_2219.txt", "TXT")</f>
        <v/>
      </c>
    </row>
    <row r="2075">
      <c r="A2075" s="1" t="n">
        <v>2073</v>
      </c>
      <c r="B2075" t="n">
        <v>2018</v>
      </c>
      <c r="C2075" s="2" t="n">
        <v>43310.62630072916</v>
      </c>
      <c r="D2075" t="inlineStr">
        <is>
          <t>G1</t>
        </is>
      </c>
      <c r="E2075" t="inlineStr">
        <is>
          <t>VENEZUELANOS</t>
        </is>
      </c>
      <c r="F2075" t="inlineStr">
        <is>
          <t>ECONOMIA</t>
        </is>
      </c>
      <c r="G2075" t="inlineStr">
        <is>
          <t>FRANCE PRESSE</t>
        </is>
      </c>
      <c r="H2075" t="inlineStr">
        <is>
          <t>MADURO VAI REGULAR VENDA DE GASOLINA VENEZUELANA</t>
        </is>
      </c>
      <c r="I2075" t="inlineStr">
        <is>
          <t>SEGUNDO O PRESIDENTE DA VENEZUELA, OS ATUAIS PREÇOS DOS COMBUSTÍVEIS NÃO COBREM OS CUSTOS DE PRODUÇÃO.</t>
        </is>
      </c>
      <c r="J2075">
        <f>HYPERLINK("https://g1.globo.com/economia/noticia/2018/07/29/maduro-vai-regular-venda-de-gasolina-venezuelana.ghtml", "URL")</f>
        <v/>
      </c>
      <c r="K2075">
        <f>HYPERLINK("https://raw.githubusercontent.com/marcosmapl/dataset_imigrantes/main/noticias_filtered/g1/venezuelanos/2018/06_jul/html/g1_949ede90-230f-11ed-b24f-6dbe51e79fca_2805.html", "HTML")</f>
        <v/>
      </c>
      <c r="L2075">
        <f>HYPERLINK("https://raw.githubusercontent.com/marcosmapl/dataset_imigrantes/main/noticias_filtered/g1/venezuelanos/2018/06_jul/txt/g1_949ede90-230f-11ed-b24f-6dbe51e79fca_2805.txt", "TXT")</f>
        <v/>
      </c>
    </row>
    <row r="2076">
      <c r="A2076" s="1" t="n">
        <v>2074</v>
      </c>
      <c r="B2076" t="n">
        <v>2018</v>
      </c>
      <c r="C2076" s="2" t="n">
        <v>43308.72837709491</v>
      </c>
      <c r="D2076" t="inlineStr">
        <is>
          <t>G1</t>
        </is>
      </c>
      <c r="E2076" t="inlineStr">
        <is>
          <t>VENEZUELANOS</t>
        </is>
      </c>
      <c r="F2076" t="inlineStr">
        <is>
          <t>MUNDO</t>
        </is>
      </c>
      <c r="G2076" t="inlineStr">
        <is>
          <t>FRANCE PRESSE</t>
        </is>
      </c>
      <c r="H2076" t="inlineStr">
        <is>
          <t>PARLAMENTAR VENEZUELANO SE EXILA ALEGANDO PERSEGUIÇÃO DO GOVERNO</t>
        </is>
      </c>
      <c r="I2076" t="inlineStr">
        <is>
          <t>OPOSITOR AO GOVERNO DE MADURO, JOSÉ MANUEL OLIVARES NÃO ESPECIFICOU PARA QUAL PAÍS VIAJOU.</t>
        </is>
      </c>
      <c r="J2076">
        <f>HYPERLINK("https://g1.globo.com/mundo/noticia/2018/07/27/parlamentar-venezuelano-se-exila-alegando-perseguicao-do-governo.ghtml", "URL")</f>
        <v/>
      </c>
      <c r="K2076">
        <f>HYPERLINK("https://raw.githubusercontent.com/marcosmapl/dataset_imigrantes/main/noticias_filtered/g1/venezuelanos/2018/06_jul/html/g1_23733782-230c-11ed-b24f-6dbe51e79fca_2607.html", "HTML")</f>
        <v/>
      </c>
      <c r="L2076">
        <f>HYPERLINK("https://raw.githubusercontent.com/marcosmapl/dataset_imigrantes/main/noticias_filtered/g1/venezuelanos/2018/06_jul/txt/g1_23733782-230c-11ed-b24f-6dbe51e79fca_2607.txt", "TXT")</f>
        <v/>
      </c>
    </row>
    <row r="2077">
      <c r="A2077" s="1" t="n">
        <v>2075</v>
      </c>
      <c r="B2077" t="n">
        <v>2018</v>
      </c>
      <c r="C2077" s="2" t="n">
        <v>43308.62482638889</v>
      </c>
      <c r="D2077" t="inlineStr">
        <is>
          <t>A CRITICA</t>
        </is>
      </c>
      <c r="E2077" t="inlineStr">
        <is>
          <t>VENEZUELANOS</t>
        </is>
      </c>
      <c r="F2077" t="inlineStr"/>
      <c r="G2077" t="inlineStr">
        <is>
          <t>CAROLINA GONÇALVES - AGÊNCIA BRASIL</t>
        </is>
      </c>
      <c r="H2077" t="inlineStr">
        <is>
          <t>MP DENUNCIA MANIFESTANTES QUE ATEARAM FOGO EM ABRIGO DE VENEZUELANOS</t>
        </is>
      </c>
      <c r="I2077" t="inlineStr">
        <is>
          <t>O GRUPO PARTICIPOU DE ATOS VIOLENTOS QUE MARCARAM UM PROTESTO OCORRIDO EM MUCAJAÍ (RR), EM MARÇO, CONTRA A PRESENÇA DOS VENEZUELANOS EM RORAIMA</t>
        </is>
      </c>
      <c r="J2077">
        <f>HYPERLINK("https://www.acritica.com/mp-denuncia-manifestantes-que-atearam-fogo-em-abrigo-de-venezuelanos-1.200156", "URL")</f>
        <v/>
      </c>
      <c r="K2077">
        <f>HYPERLINK("https://raw.githubusercontent.com/marcosmapl/dataset_imigrantes/main/noticias_filtered/a_critica/venezuelanos/2018/06_jul/html/1.200156_373.html", "HTML")</f>
        <v/>
      </c>
      <c r="L2077">
        <f>HYPERLINK("https://raw.githubusercontent.com/marcosmapl/dataset_imigrantes/main/noticias_filtered/a_critica/venezuelanos/2018/06_jul/txt/1.200156_373.txt", "TXT")</f>
        <v/>
      </c>
    </row>
    <row r="2078">
      <c r="A2078" s="1" t="n">
        <v>2076</v>
      </c>
      <c r="B2078" t="n">
        <v>2018</v>
      </c>
      <c r="C2078" s="2" t="n">
        <v>43307.50809114584</v>
      </c>
      <c r="D2078" t="inlineStr">
        <is>
          <t>G1</t>
        </is>
      </c>
      <c r="E2078" t="inlineStr">
        <is>
          <t>VENEZUELANOS</t>
        </is>
      </c>
      <c r="F2078" t="inlineStr">
        <is>
          <t>MATO GROSSO</t>
        </is>
      </c>
      <c r="G2078" t="inlineStr">
        <is>
          <t>LIDIANE MORAES, G1 MT</t>
        </is>
      </c>
      <c r="H2078" t="inlineStr">
        <is>
          <t>REFUGIADA EM CUIABÁ E MÃE DE 3 FILHOS, VENEZUELANA EXPÕE CARTAZ COM PEDIDO DE EMPREGO EM AVENIDA</t>
        </is>
      </c>
      <c r="I2078" t="inlineStr">
        <is>
          <t>SÍLVIA GUILEN, O MARIDO E OS 3 FILHOS DO CASAL VIVEM EM UMA CASA ALUGADA NA CAPITAL. VENEZUELANA DIZ NÃO FAZER EXIGÊNCIAS QUANTO AO EMPREGO: 'ACEITO QUALQUER COISA'.</t>
        </is>
      </c>
      <c r="J2078">
        <f>HYPERLINK("https://g1.globo.com/mt/mato-grosso/noticia/2018/07/26/refugiada-em-cuiaba-e-mae-de-3-filhos-venezuelana-expoe-cartaz-com-pedido-de-emprego-em-avenida.ghtml", "URL")</f>
        <v/>
      </c>
      <c r="K2078">
        <f>HYPERLINK("https://raw.githubusercontent.com/marcosmapl/dataset_imigrantes/main/noticias_filtered/g1/venezuelanos/2018/06_jul/html/g1_6fe83324-2316-11ed-b24f-6dbe51e79fca_3147.html", "HTML")</f>
        <v/>
      </c>
      <c r="L2078">
        <f>HYPERLINK("https://raw.githubusercontent.com/marcosmapl/dataset_imigrantes/main/noticias_filtered/g1/venezuelanos/2018/06_jul/txt/g1_6fe83324-2316-11ed-b24f-6dbe51e79fca_3147.txt", "TXT")</f>
        <v/>
      </c>
    </row>
    <row r="2079">
      <c r="A2079" s="1" t="n">
        <v>2077</v>
      </c>
      <c r="B2079" t="n">
        <v>2018</v>
      </c>
      <c r="C2079" s="2" t="n">
        <v>43306.85936828703</v>
      </c>
      <c r="D2079" t="inlineStr">
        <is>
          <t>G1</t>
        </is>
      </c>
      <c r="E2079" t="inlineStr">
        <is>
          <t>HAITIANOS</t>
        </is>
      </c>
      <c r="F2079" t="inlineStr">
        <is>
          <t>CORUMBÁ E REGIÃO</t>
        </is>
      </c>
      <c r="G2079" t="inlineStr">
        <is>
          <t>GABRIELA PRADO, TV MORENA</t>
        </is>
      </c>
      <c r="H2079" t="inlineStr">
        <is>
          <t>AUDIÊNCIA PÚBLICA CONVOCADA PELO MPF VAI DISCUTIR SITUAÇÃO DOS HAITIANOS EM CORUMBÁ</t>
        </is>
      </c>
      <c r="I2079" t="inlineStr">
        <is>
          <t>SEGUNDO À POLÍCIA, POR CONTA DA FRONTEIRA COM A BOLÍVIA, CORUMBÁ ESTÁ SE TRANSFORMANDO NA NOVA ROTA DE ENTRADA ILEGAL DE ESTRANGEIROS NO BRASIL.</t>
        </is>
      </c>
      <c r="J2079">
        <f>HYPERLINK("https://g1.globo.com/ms/corumba-e-regiao/noticia/2018/07/25/audiencia-publica-convocada-pelo-mpf-vai-discutir-situacao-dos-haitianos-em-corumba.ghtml", "URL")</f>
        <v/>
      </c>
      <c r="K2079">
        <f>HYPERLINK("https://raw.githubusercontent.com/marcosmapl/dataset_imigrantes/main/noticias_filtered/g1/haitianos/2018/06_jul/html/g1_660b63b6-22f4-11ed-b24f-6dbe51e79fca_1886.html", "HTML")</f>
        <v/>
      </c>
      <c r="L2079">
        <f>HYPERLINK("https://raw.githubusercontent.com/marcosmapl/dataset_imigrantes/main/noticias_filtered/g1/haitianos/2018/06_jul/txt/g1_660b63b6-22f4-11ed-b24f-6dbe51e79fca_1886.txt", "TXT")</f>
        <v/>
      </c>
    </row>
    <row r="2080">
      <c r="A2080" s="1" t="n">
        <v>2078</v>
      </c>
      <c r="B2080" t="n">
        <v>2018</v>
      </c>
      <c r="C2080" s="2" t="n">
        <v>43306.71087247686</v>
      </c>
      <c r="D2080" t="inlineStr">
        <is>
          <t>G1</t>
        </is>
      </c>
      <c r="E2080" t="inlineStr">
        <is>
          <t>VENEZUELANOS</t>
        </is>
      </c>
      <c r="F2080" t="inlineStr">
        <is>
          <t>SÃO PAULO</t>
        </is>
      </c>
      <c r="G2080" t="inlineStr">
        <is>
          <t>JEAN RAUPP, SP1</t>
        </is>
      </c>
      <c r="H2080" t="inlineStr">
        <is>
          <t>'QUEREMOS UM JEITO DE SEGUIR ADIANTE', DIZ REFUGIADO VENEZUELANO ACOLHIDO EM SP</t>
        </is>
      </c>
      <c r="I2080" t="inlineStr">
        <is>
          <t>VINTE VENEZUELANOS CHEGARAM À CIDADE DE SÃO PAULO NA NOITE DE TERÇA-FEIRA (24) E VÃO RECEBER ASSISTÊNCIA DA ENTIDADE MISSÃO PAZ PARA CONSTRUIR UMA NOVA VIDA.</t>
        </is>
      </c>
      <c r="J2080">
        <f>HYPERLINK("https://g1.globo.com/sp/sao-paulo/noticia/2018/07/25/queremos-um-jeito-de-seguir-adiante-diz-refugiado-venezuelano-acolhido-em-sp.ghtml", "URL")</f>
        <v/>
      </c>
      <c r="K2080">
        <f>HYPERLINK("https://raw.githubusercontent.com/marcosmapl/dataset_imigrantes/main/noticias_filtered/g1/venezuelanos/2018/06_jul/html/g1_3ed6331e-2323-11ed-b24f-6dbe51e79fca_3794.html", "HTML")</f>
        <v/>
      </c>
      <c r="L2080">
        <f>HYPERLINK("https://raw.githubusercontent.com/marcosmapl/dataset_imigrantes/main/noticias_filtered/g1/venezuelanos/2018/06_jul/txt/g1_3ed6331e-2323-11ed-b24f-6dbe51e79fca_3794.txt", "TXT")</f>
        <v/>
      </c>
    </row>
    <row r="2081">
      <c r="A2081" s="1" t="n">
        <v>2079</v>
      </c>
      <c r="B2081" t="n">
        <v>2018</v>
      </c>
      <c r="C2081" s="2" t="n">
        <v>43306.51777777778</v>
      </c>
      <c r="D2081" t="inlineStr">
        <is>
          <t>A CRITICA</t>
        </is>
      </c>
      <c r="E2081" t="inlineStr">
        <is>
          <t>VENEZUELANOS</t>
        </is>
      </c>
      <c r="F2081" t="inlineStr"/>
      <c r="G2081" t="inlineStr">
        <is>
          <t>AGÊNCIA BRASIL</t>
        </is>
      </c>
      <c r="H2081" t="inlineStr">
        <is>
          <t>POPULAÇÃO BRASILEIRA DEVE CHEGAR A 233,2 MILHÕES EM 2047, DIZ IBGE</t>
        </is>
      </c>
      <c r="I2081" t="inlineStr">
        <is>
          <t>A PARTIR DESTE ANO, ENTRARÁ EM DECLÍNIO GRADUAL CHEGANDO A 228,3 MILHÕES EM 2060, APONTOU O INSTITUTO BRASILEIRO DE GEOGRAFIA E ESTATÍSTICA</t>
        </is>
      </c>
      <c r="J2081">
        <f>HYPERLINK("https://www.acritica.com/populac-o-brasileira-deve-chegar-a-233-2-milh-es-em-2047-diz-ibge-1.200450", "URL")</f>
        <v/>
      </c>
      <c r="K2081">
        <f>HYPERLINK("https://raw.githubusercontent.com/marcosmapl/dataset_imigrantes/main/noticias_filtered/a_critica/venezuelanos/2018/06_jul/html/1.200450_768.html", "HTML")</f>
        <v/>
      </c>
      <c r="L2081">
        <f>HYPERLINK("https://raw.githubusercontent.com/marcosmapl/dataset_imigrantes/main/noticias_filtered/a_critica/venezuelanos/2018/06_jul/txt/1.200450_768.txt", "TXT")</f>
        <v/>
      </c>
    </row>
    <row r="2082">
      <c r="A2082" s="1" t="n">
        <v>2080</v>
      </c>
      <c r="B2082" t="n">
        <v>2018</v>
      </c>
      <c r="C2082" s="2" t="n">
        <v>43306.51180555556</v>
      </c>
      <c r="D2082" t="inlineStr">
        <is>
          <t>PORTAL AMAZONIA</t>
        </is>
      </c>
      <c r="E2082" t="inlineStr">
        <is>
          <t>VENEZUELANOS</t>
        </is>
      </c>
      <c r="F2082" t="inlineStr">
        <is>
          <t>CIDADES</t>
        </is>
      </c>
      <c r="G2082" t="inlineStr">
        <is>
          <t>REDAÇÃO</t>
        </is>
      </c>
      <c r="H2082" t="inlineStr">
        <is>
          <t>INTERIORIZAÇÃO DE IMIGRANTES VENEZUELANOS SERÁ PERMANENTE, DIZ MINISTRO PADILHA</t>
        </is>
      </c>
      <c r="I2082" t="inlineStr">
        <is>
          <t>APÓS RECEBER NA ORGANIZAÇÃO ALDEIAS INFANTIS SOS DE BRASÍLIA OS 50 VENEZUELANOS QUE HAVIAM SAÍDO DE BOA VISTA DESTA TERÇA-FEIRA (24), O MINISTRO-CHEFE DA CASA CIVIL DA PRESIDÊNCIA, ELISEU PADILHA, INFORMOU QUE O PROCESSO DE INTERIORIZAÇÃO DA POPULAÇÃ</t>
        </is>
      </c>
      <c r="J2082">
        <f>HYPERLINK("https://portalamazonia.com/noticias/cidades/interiorizacao-de-imigrantes-venezuelanos-sera-permanente-diz-ministro-padilha", "URL")</f>
        <v/>
      </c>
      <c r="K2082">
        <f>HYPERLINK("https://raw.githubusercontent.com/marcosmapl/dataset_imigrantes/main/noticias_filtered/portal_amazonia/venezuelanos/2018/06_jul/html/15265.15265_1436.html", "HTML")</f>
        <v/>
      </c>
      <c r="L2082">
        <f>HYPERLINK("https://raw.githubusercontent.com/marcosmapl/dataset_imigrantes/main/noticias_filtered/portal_amazonia/venezuelanos/2018/06_jul/txt/15265.15265_1436.txt", "TXT")</f>
        <v/>
      </c>
    </row>
    <row r="2083">
      <c r="A2083" s="1" t="n">
        <v>2081</v>
      </c>
      <c r="B2083" t="n">
        <v>2018</v>
      </c>
      <c r="C2083" s="2" t="n">
        <v>43305.51875</v>
      </c>
      <c r="D2083" t="inlineStr">
        <is>
          <t>A CRITICA</t>
        </is>
      </c>
      <c r="E2083" t="inlineStr">
        <is>
          <t>VENEZUELANOS</t>
        </is>
      </c>
      <c r="F2083" t="inlineStr"/>
      <c r="G2083" t="inlineStr">
        <is>
          <t>CAROLINA GONÇALVES -  AGÊNCIA BRASIL</t>
        </is>
      </c>
      <c r="H2083" t="inlineStr">
        <is>
          <t>PELA PRIMEIRA VEZ ORGANIZAÇÃO DE BRASÍLIA RECEBE VENEZUELANOS VINDOS DE RORAIMA</t>
        </is>
      </c>
      <c r="I2083" t="inlineStr">
        <is>
          <t>ENTRE ABRIL E JULHO DESTE ANO, O PROCESSO DE INTERIORIZAÇÃO DOS MIGRANTES QUE PEDIRAM REFÚGIO OU RESIDÊNCIA NO BRASIL, JÁ ENVOLVEU 690 VENEZUELANOS QUE FORAM LEVADOS DE RORAIMA</t>
        </is>
      </c>
      <c r="J2083">
        <f>HYPERLINK("https://www.acritica.com/pela-primeira-vez-organizac-o-de-brasilia-recebe-venezuelanos-vindos-de-roraima-1.193112", "URL")</f>
        <v/>
      </c>
      <c r="K2083">
        <f>HYPERLINK("https://raw.githubusercontent.com/marcosmapl/dataset_imigrantes/main/noticias_filtered/a_critica/venezuelanos/2018/06_jul/html/1.193112_113.html", "HTML")</f>
        <v/>
      </c>
      <c r="L2083">
        <f>HYPERLINK("https://raw.githubusercontent.com/marcosmapl/dataset_imigrantes/main/noticias_filtered/a_critica/venezuelanos/2018/06_jul/txt/1.193112_113.txt", "TXT")</f>
        <v/>
      </c>
    </row>
    <row r="2084">
      <c r="A2084" s="1" t="n">
        <v>2082</v>
      </c>
      <c r="B2084" t="n">
        <v>2018</v>
      </c>
      <c r="C2084" s="2" t="n">
        <v>43304.87850694444</v>
      </c>
      <c r="D2084" t="inlineStr">
        <is>
          <t>A CRITICA</t>
        </is>
      </c>
      <c r="E2084" t="inlineStr">
        <is>
          <t>VENEZUELANOS</t>
        </is>
      </c>
      <c r="F2084" t="inlineStr"/>
      <c r="G2084" t="inlineStr">
        <is>
          <t>DÉBORA BRITO (AGÊNCIA BRASIL)</t>
        </is>
      </c>
      <c r="H2084" t="inlineStr">
        <is>
          <t>MAIS 131 IMIGRANTES VENEZUELANOS DEIXAM RORAIMA NO PROCESSO DE INTERIORIZAÇÃO</t>
        </is>
      </c>
      <c r="I2084" t="inlineStr">
        <is>
          <t>OS IMIGRANTES SERÃO LEVADOS PARA SÃO PAULO, CUIABÁ, RIO DE JANEIRO E BRASÍLIA NESTA TERÇA-FEIRA (24)</t>
        </is>
      </c>
      <c r="J2084">
        <f>HYPERLINK("https://www.acritica.com/mais-131-imigrantes-venezuelanos-deixam-roraima-no-processo-de-interiorizac-o-1.200655", "URL")</f>
        <v/>
      </c>
      <c r="K2084">
        <f>HYPERLINK("https://raw.githubusercontent.com/marcosmapl/dataset_imigrantes/main/noticias_filtered/a_critica/venezuelanos/2018/06_jul/html/1.200655_1005.html", "HTML")</f>
        <v/>
      </c>
      <c r="L2084">
        <f>HYPERLINK("https://raw.githubusercontent.com/marcosmapl/dataset_imigrantes/main/noticias_filtered/a_critica/venezuelanos/2018/06_jul/txt/1.200655_1005.txt", "TXT")</f>
        <v/>
      </c>
    </row>
    <row r="2085">
      <c r="A2085" s="1" t="n">
        <v>2083</v>
      </c>
      <c r="B2085" t="n">
        <v>2018</v>
      </c>
      <c r="C2085" s="2" t="n">
        <v>43304.81331018519</v>
      </c>
      <c r="D2085" t="inlineStr">
        <is>
          <t>A CRITICA</t>
        </is>
      </c>
      <c r="E2085" t="inlineStr">
        <is>
          <t>VENEZUELANOS</t>
        </is>
      </c>
      <c r="F2085" t="inlineStr"/>
      <c r="G2085" t="inlineStr">
        <is>
          <t>ACRÍTICA.COM</t>
        </is>
      </c>
      <c r="H2085" t="inlineStr">
        <is>
          <t>DEVIDO À MALÁRIA, GOVERNO FEDERAL RECONHECE ESTADO DE EMERGÊNCIA NO ALTO RIO NEGRO</t>
        </is>
      </c>
      <c r="I2085" t="inlineStr">
        <is>
          <t>AMAZONAS TEM 36.099 REGISTROS DE JANEIRO A JUNHO DESTE ANO. SÃO GABRIEL DA CACHOEIRA, BARCELOS E SANTA ISABEL DO RIO NEGRO SÃO RESPONSÁVEIS POR 39,7% DOS CASOS NO INTERIOR</t>
        </is>
      </c>
      <c r="J2085">
        <f>HYPERLINK("https://www.acritica.com/devido-a-malaria-governo-federal-reconhece-estado-de-emergencia-no-alto-rio-negro-1.200685", "URL")</f>
        <v/>
      </c>
      <c r="K2085">
        <f>HYPERLINK("https://raw.githubusercontent.com/marcosmapl/dataset_imigrantes/main/noticias_filtered/a_critica/venezuelanos/2018/06_jul/html/1.200685_450.html", "HTML")</f>
        <v/>
      </c>
      <c r="L2085">
        <f>HYPERLINK("https://raw.githubusercontent.com/marcosmapl/dataset_imigrantes/main/noticias_filtered/a_critica/venezuelanos/2018/06_jul/txt/1.200685_450.txt", "TXT")</f>
        <v/>
      </c>
    </row>
    <row r="2086">
      <c r="A2086" s="1" t="n">
        <v>2084</v>
      </c>
      <c r="B2086" t="n">
        <v>2018</v>
      </c>
      <c r="C2086" s="2" t="n">
        <v>43304.52326524306</v>
      </c>
      <c r="D2086" t="inlineStr">
        <is>
          <t>G1</t>
        </is>
      </c>
      <c r="E2086" t="inlineStr">
        <is>
          <t>VENEZUELANOS</t>
        </is>
      </c>
      <c r="F2086" t="inlineStr">
        <is>
          <t>RORAIMA</t>
        </is>
      </c>
      <c r="G2086" t="inlineStr">
        <is>
          <t>G1 RR — BOA VISTA</t>
        </is>
      </c>
      <c r="H2086" t="inlineStr">
        <is>
          <t>VENEZUELANO ASSALTA OUTRO EM PRAÇA PÚBLICA DE BOA VISTA E ACABA PRESO</t>
        </is>
      </c>
      <c r="I2086" t="inlineStr">
        <is>
          <t>VÍTIMA DO ROUBO PEDIU SOCORRO À GCM: 'CHEIA DE HEMATOMAS NO PEITO, BRAÇO E CABEÇA', RELATARAM. CRIME ACONTECEU NESSE DOMINGO (22).</t>
        </is>
      </c>
      <c r="J2086">
        <f>HYPERLINK("https://g1.globo.com/rr/roraima/noticia/2018/07/23/venezuelano-assalta-outro-em-praca-publica-de-boa-vista-e-acaba-preso.ghtml", "URL")</f>
        <v/>
      </c>
      <c r="K2086">
        <f>HYPERLINK("https://raw.githubusercontent.com/marcosmapl/dataset_imigrantes/main/noticias_filtered/g1/venezuelanos/2018/06_jul/html/g1_fce08ca8-231c-11ed-b24f-6dbe51e79fca_3477.html", "HTML")</f>
        <v/>
      </c>
      <c r="L2086">
        <f>HYPERLINK("https://raw.githubusercontent.com/marcosmapl/dataset_imigrantes/main/noticias_filtered/g1/venezuelanos/2018/06_jul/txt/g1_fce08ca8-231c-11ed-b24f-6dbe51e79fca_3477.txt", "TXT")</f>
        <v/>
      </c>
    </row>
    <row r="2087">
      <c r="A2087" s="1" t="n">
        <v>2085</v>
      </c>
      <c r="B2087" t="n">
        <v>2018</v>
      </c>
      <c r="C2087" s="2" t="n">
        <v>43304.46885385417</v>
      </c>
      <c r="D2087" t="inlineStr">
        <is>
          <t>G1</t>
        </is>
      </c>
      <c r="E2087" t="inlineStr">
        <is>
          <t>AMBOS</t>
        </is>
      </c>
      <c r="F2087" t="inlineStr">
        <is>
          <t>RIO GRANDE DO SUL</t>
        </is>
      </c>
      <c r="G2087" t="inlineStr">
        <is>
          <t>JOSMAR LEITE, RBS TV</t>
        </is>
      </c>
      <c r="H2087" t="inlineStr">
        <is>
          <t>MESMO COM FORMAÇÃO UNIVERSITÁRIA, IMIGRANTES ENFRENTAM DIFICULDADES PARA  ENCONTRAR EMPREGO EM PORTO ALEGRE</t>
        </is>
      </c>
      <c r="I2087" t="inlineStr">
        <is>
          <t>CAPITAL GAÚCHA É UMA DAS QUE MAIS RECEBE ESTRANGEIROS NO BRASIL. PREFEITURA ESTIMA QUE SÃO CERCA DE 3,7 MIL PESSOAS.</t>
        </is>
      </c>
      <c r="J2087">
        <f>HYPERLINK("https://g1.globo.com/rs/rio-grande-do-sul/noticia/2018/07/23/mesmo-com-formacao-universitaria-imigrantes-enfrentam-dificuldades-para-encontrar-emprego-em-porto-alegre.ghtml", "URL")</f>
        <v/>
      </c>
      <c r="K2087">
        <f>HYPERLINK("https://raw.githubusercontent.com/marcosmapl/dataset_imigrantes/main/noticias_filtered/g1/ambos/2018/06_jul/html/g1_2f9cc734-231c-11ed-b24f-6dbe51e79fca_3432.html", "HTML")</f>
        <v/>
      </c>
      <c r="L2087">
        <f>HYPERLINK("https://raw.githubusercontent.com/marcosmapl/dataset_imigrantes/main/noticias_filtered/g1/ambos/2018/06_jul/txt/g1_2f9cc734-231c-11ed-b24f-6dbe51e79fca_3432.txt", "TXT")</f>
        <v/>
      </c>
    </row>
    <row r="2088">
      <c r="A2088" s="1" t="n">
        <v>2086</v>
      </c>
      <c r="B2088" t="n">
        <v>2018</v>
      </c>
      <c r="C2088" s="2" t="n">
        <v>43303.56298392361</v>
      </c>
      <c r="D2088" t="inlineStr">
        <is>
          <t>G1</t>
        </is>
      </c>
      <c r="E2088" t="inlineStr">
        <is>
          <t>HAITIANOS</t>
        </is>
      </c>
      <c r="F2088" t="inlineStr">
        <is>
          <t>SANTA CATARINA</t>
        </is>
      </c>
      <c r="G2088" t="inlineStr">
        <is>
          <t>NSC TV</t>
        </is>
      </c>
      <c r="H2088" t="inlineStr">
        <is>
          <t>CINCO ANOS APÓS CHEGAR AO BRASIL, HAITIANO SE FORMA EM UNIVERSIDADE FEDERAL EM SC</t>
        </is>
      </c>
      <c r="I2088" t="inlineStr">
        <is>
          <t>BACHELOR LOUIS É O PRIMEIRO HAITIANO A SE FORMAR NA UFFS, EM CHAPECÓ. SUA GRADUAÇÃO É NO CURSO DE AGRONOMIA.</t>
        </is>
      </c>
      <c r="J2088">
        <f>HYPERLINK("https://g1.globo.com/sc/santa-catarina/noticia/2018/07/22/cinco-anos-apos-chegar-ao-brasil-haitiano-se-forma-em-universidade-federal-em-sc.ghtml", "URL")</f>
        <v/>
      </c>
      <c r="K2088">
        <f>HYPERLINK("https://raw.githubusercontent.com/marcosmapl/dataset_imigrantes/main/noticias_filtered/g1/haitianos/2018/06_jul/html/g1_24e38ab2-22f4-11ed-b24f-6dbe51e79fca_1876.html", "HTML")</f>
        <v/>
      </c>
      <c r="L2088">
        <f>HYPERLINK("https://raw.githubusercontent.com/marcosmapl/dataset_imigrantes/main/noticias_filtered/g1/haitianos/2018/06_jul/txt/g1_24e38ab2-22f4-11ed-b24f-6dbe51e79fca_1876.txt", "TXT")</f>
        <v/>
      </c>
    </row>
    <row r="2089">
      <c r="A2089" s="1" t="n">
        <v>2087</v>
      </c>
      <c r="B2089" t="n">
        <v>2018</v>
      </c>
      <c r="C2089" s="2" t="n">
        <v>43301.74166666667</v>
      </c>
      <c r="D2089" t="inlineStr">
        <is>
          <t>A CRITICA</t>
        </is>
      </c>
      <c r="E2089" t="inlineStr">
        <is>
          <t>VENEZUELANOS</t>
        </is>
      </c>
      <c r="F2089" t="inlineStr"/>
      <c r="G2089" t="inlineStr">
        <is>
          <t>ACRÍTICA.COM</t>
        </is>
      </c>
      <c r="H2089" t="inlineStr">
        <is>
          <t>GOVERNO FEDERAL RECONHECE EMERGÊNCIA NO ALTO RIO NEGRO, DEVIDO À MALÁRIA</t>
        </is>
      </c>
      <c r="I2089" t="inlineStr">
        <is>
          <t>A DOENÇA, QUE VOLTOU A CRESCER NO AMAZONAS A PARTIR DE 2017, TEM 36.099 REGISTROS DE JANEIRO A JUNHO DESTE ANO, DOS QUAIS SÃO GABRIEL DA CACHOEIRA LIDERA COM 8.626  CASOS</t>
        </is>
      </c>
      <c r="J2089">
        <f>HYPERLINK("https://www.acritica.com/governo-federal-reconhece-emergencia-no-alto-rio-negro-devido-a-malaria-1.200951", "URL")</f>
        <v/>
      </c>
      <c r="K2089">
        <f>HYPERLINK("https://raw.githubusercontent.com/marcosmapl/dataset_imigrantes/main/noticias_filtered/a_critica/venezuelanos/2018/06_jul/html/1.200951_840.html", "HTML")</f>
        <v/>
      </c>
      <c r="L2089">
        <f>HYPERLINK("https://raw.githubusercontent.com/marcosmapl/dataset_imigrantes/main/noticias_filtered/a_critica/venezuelanos/2018/06_jul/txt/1.200951_840.txt", "TXT")</f>
        <v/>
      </c>
    </row>
    <row r="2090">
      <c r="A2090" s="1" t="n">
        <v>2088</v>
      </c>
      <c r="B2090" t="n">
        <v>2018</v>
      </c>
      <c r="C2090" s="2" t="n">
        <v>43301.49861111111</v>
      </c>
      <c r="D2090" t="inlineStr">
        <is>
          <t>PORTAL AMAZONIA</t>
        </is>
      </c>
      <c r="E2090" t="inlineStr">
        <is>
          <t>VENEZUELANOS</t>
        </is>
      </c>
      <c r="F2090" t="inlineStr">
        <is>
          <t>CIDADES</t>
        </is>
      </c>
      <c r="G2090" t="inlineStr">
        <is>
          <t>REDAÇÃO</t>
        </is>
      </c>
      <c r="H2090" t="inlineStr">
        <is>
          <t>MINISTRO ACOMPANHA A SITUAÇÃO DOS MIGRANTES VENEZUELANOS EM RORAIMA</t>
        </is>
      </c>
      <c r="I2090" t="inlineStr">
        <is>
          <t>O MINISTRO DA JUSTIÇA, TORQUATO JARDIM, ESTEVE NESTA QUINTA-FEIRA (19) EM PACARAIMA, RORAIMA, PARA VERIFICAR O ANDAMENTO DO PROCESSO DE ACOLHIMENTO E REGULARIZAÇÃO DOS MIGRANTES VENEZUELANOS.SEGUNDO O MINISTÉRIO, TORQUATO JARDIM VISITOU O CENTRO PAST</t>
        </is>
      </c>
      <c r="J2090">
        <f>HYPERLINK("https://portalamazonia.com/noticias/cidades/ministro-acompanha-a-situacao-dos-migrantes-venezuelanos-em-roraima", "URL")</f>
        <v/>
      </c>
      <c r="K2090">
        <f>HYPERLINK("https://raw.githubusercontent.com/marcosmapl/dataset_imigrantes/main/noticias_filtered/portal_amazonia/venezuelanos/2018/06_jul/html/15195.15195_1404.html", "HTML")</f>
        <v/>
      </c>
      <c r="L2090">
        <f>HYPERLINK("https://raw.githubusercontent.com/marcosmapl/dataset_imigrantes/main/noticias_filtered/portal_amazonia/venezuelanos/2018/06_jul/txt/15195.15195_1404.txt", "TXT")</f>
        <v/>
      </c>
    </row>
    <row r="2091">
      <c r="A2091" s="1" t="n">
        <v>2089</v>
      </c>
      <c r="B2091" t="n">
        <v>2018</v>
      </c>
      <c r="C2091" s="2" t="n">
        <v>43300.96000836806</v>
      </c>
      <c r="D2091" t="inlineStr">
        <is>
          <t>G1</t>
        </is>
      </c>
      <c r="E2091" t="inlineStr">
        <is>
          <t>VENEZUELANOS</t>
        </is>
      </c>
      <c r="F2091" t="inlineStr">
        <is>
          <t>RORAIMA</t>
        </is>
      </c>
      <c r="G2091" t="inlineStr">
        <is>
          <t>MARCELO MARQUES, G1 RR</t>
        </is>
      </c>
      <c r="H2091" t="inlineStr">
        <is>
          <t>MORADOR DE RUA VENEZUELANO É ESFAQUEADO E TEM PERTENCES FURTADOS POR AGRESSORES EM BOA VISTA</t>
        </is>
      </c>
      <c r="I2091" t="inlineStr">
        <is>
          <t>VÍTIMA FOI ATACADA NO PEITO E ABDÔMEN PELOS CRIMINOSOS. MESMO FERIDO, ELE FOI ATÉ O HOSPITAL INFANTIL PEDIR POR SOCORRO.</t>
        </is>
      </c>
      <c r="J2091">
        <f>HYPERLINK("https://g1.globo.com/rr/roraima/noticia/2018/07/19/morador-de-rua-venezuelano-e-esfaqueado-e-tem-pertences-furtados-por-agressores-em-boa-vista.ghtml", "URL")</f>
        <v/>
      </c>
      <c r="K2091">
        <f>HYPERLINK("https://raw.githubusercontent.com/marcosmapl/dataset_imigrantes/main/noticias_filtered/g1/venezuelanos/2018/06_jul/html/g1_bf11ad5c-2322-11ed-b24f-6dbe51e79fca_3770.html", "HTML")</f>
        <v/>
      </c>
      <c r="L2091">
        <f>HYPERLINK("https://raw.githubusercontent.com/marcosmapl/dataset_imigrantes/main/noticias_filtered/g1/venezuelanos/2018/06_jul/txt/g1_bf11ad5c-2322-11ed-b24f-6dbe51e79fca_3770.txt", "TXT")</f>
        <v/>
      </c>
    </row>
    <row r="2092">
      <c r="A2092" s="1" t="n">
        <v>2090</v>
      </c>
      <c r="B2092" t="n">
        <v>2018</v>
      </c>
      <c r="C2092" s="2" t="n">
        <v>43300.78888888889</v>
      </c>
      <c r="D2092" t="inlineStr">
        <is>
          <t>A CRITICA</t>
        </is>
      </c>
      <c r="E2092" t="inlineStr">
        <is>
          <t>VENEZUELANOS</t>
        </is>
      </c>
      <c r="F2092" t="inlineStr"/>
      <c r="G2092" t="inlineStr">
        <is>
          <t>ACRITICA.COM*</t>
        </is>
      </c>
      <c r="H2092" t="inlineStr">
        <is>
          <t>SURTO DE MALÁRIA AFETA DIRETAMENTE O RENDIMENTO ESCOLAR NO ALTO RIO NEGRO (AM)</t>
        </is>
      </c>
      <c r="I2092" t="inlineStr">
        <is>
          <t>CAMPEÃ EM CASOS DA DOENÇA EM 2018, CIDADE INDÍGENA DE SÃO GABRIEL DA CACHOEIRA (AM) REGISTRA DÉFICIT DE APRENDIZADO E EVASÃO DE ESTUDANTES DEVIDO À EPIDEMIA</t>
        </is>
      </c>
      <c r="J2092">
        <f>HYPERLINK("https://www.acritica.com/surto-de-malaria-afeta-diretamente-o-rendimento-escolar-no-alto-rio-negro-am-1.201046", "URL")</f>
        <v/>
      </c>
      <c r="K2092">
        <f>HYPERLINK("https://raw.githubusercontent.com/marcosmapl/dataset_imigrantes/main/noticias_filtered/a_critica/venezuelanos/2018/06_jul/html/1.201046_357.html", "HTML")</f>
        <v/>
      </c>
      <c r="L2092">
        <f>HYPERLINK("https://raw.githubusercontent.com/marcosmapl/dataset_imigrantes/main/noticias_filtered/a_critica/venezuelanos/2018/06_jul/txt/1.201046_357.txt", "TXT")</f>
        <v/>
      </c>
    </row>
    <row r="2093">
      <c r="A2093" s="1" t="n">
        <v>2091</v>
      </c>
      <c r="B2093" t="n">
        <v>2018</v>
      </c>
      <c r="C2093" s="2" t="n">
        <v>43299.99861111111</v>
      </c>
      <c r="D2093" t="inlineStr">
        <is>
          <t>A CRITICA</t>
        </is>
      </c>
      <c r="E2093" t="inlineStr">
        <is>
          <t>AMBOS</t>
        </is>
      </c>
      <c r="F2093" t="inlineStr">
        <is>
          <t>MANAUS</t>
        </is>
      </c>
      <c r="G2093" t="inlineStr">
        <is>
          <t>VITOR GAVIRATI</t>
        </is>
      </c>
      <c r="H2093" t="inlineStr">
        <is>
          <t>ADALBERTO VALLE PROMOVE DEBATE JURÍDICO SOBRE IMIGRAÇÃO COM ALUNOS DO ENSINO MÉDIO</t>
        </is>
      </c>
      <c r="I2093" t="inlineStr">
        <is>
          <t>ESTUDANTES FIZERAM OS PAPÉIS DA DEFENSORIA E DO MINISTÉRIO PÚBLICO DURANTE O SIMULADO PROMOVIDO PELO CENTRO EDUCACIONAL NESTA QUARTA-FEIRA (18)</t>
        </is>
      </c>
      <c r="J2093">
        <f>HYPERLINK("https://www.acritica.com/manaus/adalberto-valle-promove-debate-juridico-sobre-imigrac-o-com-alunos-do-ensino-medio-1.85729", "URL")</f>
        <v/>
      </c>
      <c r="K2093">
        <f>HYPERLINK("https://raw.githubusercontent.com/marcosmapl/dataset_imigrantes/main/noticias_filtered/a_critica/ambos/2018/06_jul/html/1.85729_341.html", "HTML")</f>
        <v/>
      </c>
      <c r="L2093">
        <f>HYPERLINK("https://raw.githubusercontent.com/marcosmapl/dataset_imigrantes/main/noticias_filtered/a_critica/ambos/2018/06_jul/txt/1.85729_341.txt", "TXT")</f>
        <v/>
      </c>
    </row>
    <row r="2094">
      <c r="A2094" s="1" t="n">
        <v>2092</v>
      </c>
      <c r="B2094" t="n">
        <v>2018</v>
      </c>
      <c r="C2094" s="2" t="n">
        <v>43299.82152777778</v>
      </c>
      <c r="D2094" t="inlineStr">
        <is>
          <t>A CRITICA</t>
        </is>
      </c>
      <c r="E2094" t="inlineStr">
        <is>
          <t>VENEZUELANOS</t>
        </is>
      </c>
      <c r="F2094" t="inlineStr"/>
      <c r="G2094" t="inlineStr">
        <is>
          <t>ACRÍTICA.COM</t>
        </is>
      </c>
      <c r="H2094" t="inlineStr">
        <is>
          <t>MINISTÉRIO DA SAÚDE ATUALIZA NÚMERO DE CASOS REGISTRADOS DE SARAMPO NO BRASIL</t>
        </is>
      </c>
      <c r="I2094" t="inlineStr">
        <is>
          <t>ATÉ O DIA 17 DE JULHO, 444 CASOS FORAM CONFIRMADOS DE SARAMPO NO AMAZONAS E 216 EM RORAIMA</t>
        </is>
      </c>
      <c r="J2094">
        <f>HYPERLINK("https://www.acritica.com/ministerio-da-saude-atualiza-numero-de-casos-registrados-de-sarampo-no-brasil-1.201109", "URL")</f>
        <v/>
      </c>
      <c r="K2094">
        <f>HYPERLINK("https://raw.githubusercontent.com/marcosmapl/dataset_imigrantes/main/noticias_filtered/a_critica/venezuelanos/2018/06_jul/html/1.201109_971.html", "HTML")</f>
        <v/>
      </c>
      <c r="L2094">
        <f>HYPERLINK("https://raw.githubusercontent.com/marcosmapl/dataset_imigrantes/main/noticias_filtered/a_critica/venezuelanos/2018/06_jul/txt/1.201109_971.txt", "TXT")</f>
        <v/>
      </c>
    </row>
    <row r="2095">
      <c r="A2095" s="1" t="n">
        <v>2093</v>
      </c>
      <c r="B2095" t="n">
        <v>2018</v>
      </c>
      <c r="C2095" s="2" t="n">
        <v>43299.47222222222</v>
      </c>
      <c r="D2095" t="inlineStr">
        <is>
          <t>PORTAL AMAZONIA</t>
        </is>
      </c>
      <c r="E2095" t="inlineStr">
        <is>
          <t>VENEZUELANOS</t>
        </is>
      </c>
      <c r="F2095" t="inlineStr">
        <is>
          <t>CIDADES</t>
        </is>
      </c>
      <c r="G2095" t="inlineStr">
        <is>
          <t>REDAÇÃO</t>
        </is>
      </c>
      <c r="H2095" t="inlineStr">
        <is>
          <t>BELÉM DECRETA SITUAÇÃO DE EMERGÊNCIA COM CHEGADA DE ÍNDIOS VENEZUELANOS</t>
        </is>
      </c>
      <c r="I2095" t="inlineStr">
        <is>
          <t>A PREFEITURA DE BELÉM DECRETOU SITUAÇÃO DE EMERGÊNCIA SOCIAL NA CIDADE EM RAZÃO DO PROCESSO MIGRATÓRIO DE ÍNDIOS VENEZUELANOS DA ETNIA WARAO PARA A CAPITAL PARAENSE. A PREVISÃO É DE QUE A MEDIDA SEJA ASSINADA PELO PREFEITO ZENALDO COUTINHO NESTA TERÇ</t>
        </is>
      </c>
      <c r="J2095">
        <f>HYPERLINK("https://portalamazonia.com/noticias/cidades/belem-decreta-situacao-de-emergencia-com-chegada-de-indios-venezuelanos", "URL")</f>
        <v/>
      </c>
      <c r="K2095">
        <f>HYPERLINK("https://raw.githubusercontent.com/marcosmapl/dataset_imigrantes/main/noticias_filtered/portal_amazonia/venezuelanos/2018/06_jul/html/15149.15149_1521.html", "HTML")</f>
        <v/>
      </c>
      <c r="L2095">
        <f>HYPERLINK("https://raw.githubusercontent.com/marcosmapl/dataset_imigrantes/main/noticias_filtered/portal_amazonia/venezuelanos/2018/06_jul/txt/15149.15149_1521.txt", "TXT")</f>
        <v/>
      </c>
    </row>
    <row r="2096">
      <c r="A2096" s="1" t="n">
        <v>2094</v>
      </c>
      <c r="B2096" t="n">
        <v>2018</v>
      </c>
      <c r="C2096" s="2" t="n">
        <v>43296.37547515046</v>
      </c>
      <c r="D2096" t="inlineStr">
        <is>
          <t>G1</t>
        </is>
      </c>
      <c r="E2096" t="inlineStr">
        <is>
          <t>VENEZUELANOS</t>
        </is>
      </c>
      <c r="F2096" t="inlineStr">
        <is>
          <t>GOIÁS</t>
        </is>
      </c>
      <c r="G2096" t="inlineStr">
        <is>
          <t>VANESSA MARTINS, G1 GO</t>
        </is>
      </c>
      <c r="H2096" t="inlineStr">
        <is>
          <t>FAMÍLIA VENEZUELANA FOGE DA CRISE POLÍTICA E ECONÔMICA NO PAÍS DE ORIGEM E BUSCA EMPREGO EM GOIÂNIA</t>
        </is>
      </c>
      <c r="I2096" t="inlineStr">
        <is>
          <t>APÓS UMA VIAGEM DE 5 MIL KM, OS REFUGIADOS PROCURAM REFAZER A VIDA NA CAPITAL GOIANA E TRAZER OS PARENTES.</t>
        </is>
      </c>
      <c r="J2096">
        <f>HYPERLINK("https://g1.globo.com/go/goias/noticia/familia-venezuelana-foge-da-crise-politica-e-economica-no-pais-de-origem-e-busca-emprego-em-goiania.ghtml", "URL")</f>
        <v/>
      </c>
      <c r="K2096">
        <f>HYPERLINK("https://raw.githubusercontent.com/marcosmapl/dataset_imigrantes/main/noticias_filtered/g1/venezuelanos/2018/06_jul/html/g1_63cdd4d4-232c-11ed-b24f-6dbe51e79fca_4302.html", "HTML")</f>
        <v/>
      </c>
      <c r="L2096">
        <f>HYPERLINK("https://raw.githubusercontent.com/marcosmapl/dataset_imigrantes/main/noticias_filtered/g1/venezuelanos/2018/06_jul/txt/g1_63cdd4d4-232c-11ed-b24f-6dbe51e79fca_4302.txt", "TXT")</f>
        <v/>
      </c>
    </row>
    <row r="2097">
      <c r="A2097" s="1" t="n">
        <v>2095</v>
      </c>
      <c r="B2097" t="n">
        <v>2018</v>
      </c>
      <c r="C2097" s="2" t="n">
        <v>43295.85547707176</v>
      </c>
      <c r="D2097" t="inlineStr">
        <is>
          <t>G1</t>
        </is>
      </c>
      <c r="E2097" t="inlineStr">
        <is>
          <t>HAITIANOS</t>
        </is>
      </c>
      <c r="F2097" t="inlineStr">
        <is>
          <t>MUNDO</t>
        </is>
      </c>
      <c r="G2097" t="inlineStr">
        <is>
          <t>G1</t>
        </is>
      </c>
      <c r="H2097" t="inlineStr">
        <is>
          <t>PREMIÊ DO HAITI ANUNCIA RENÚNCIA EM MEIO A CRISE GERADA POR ALTA DE COMBUSTÍVEIS</t>
        </is>
      </c>
      <c r="I2097" t="inlineStr">
        <is>
          <t>JACK GUY LAFONTANT COMUNICOU QUE PRESIDENTE JOVENEL MOÏSE ACEITOU SEU AFASTAMENTO DURANTE SESSÃO DO CONGRESSO QUE PREPARAVA SUA DESTITUIÇÃO. GOVERNO VOLTOU ATRÁS EM AUMENTOS DE ATÉ 50% NOS PREÇOS DOS COMBUSTÍVEIS APÓS ONDA DE VIOLÊNCIA NO PAÍS.</t>
        </is>
      </c>
      <c r="J2097">
        <f>HYPERLINK("https://g1.globo.com/mundo/noticia/premier-do-haiti-anuncia-renuncia-em-meio-a-crise-da-alta-de-combustiveis.ghtml", "URL")</f>
        <v/>
      </c>
      <c r="K2097">
        <f>HYPERLINK("https://raw.githubusercontent.com/marcosmapl/dataset_imigrantes/main/noticias_filtered/g1/haitianos/2018/06_jul/html/g1_76c337be-230e-11ed-b24f-6dbe51e79fca_2739.html", "HTML")</f>
        <v/>
      </c>
      <c r="L2097">
        <f>HYPERLINK("https://raw.githubusercontent.com/marcosmapl/dataset_imigrantes/main/noticias_filtered/g1/haitianos/2018/06_jul/txt/g1_76c337be-230e-11ed-b24f-6dbe51e79fca_2739.txt", "TXT")</f>
        <v/>
      </c>
    </row>
    <row r="2098">
      <c r="A2098" s="1" t="n">
        <v>2096</v>
      </c>
      <c r="B2098" t="n">
        <v>2018</v>
      </c>
      <c r="C2098" s="2" t="n">
        <v>43295.55861414352</v>
      </c>
      <c r="D2098" t="inlineStr">
        <is>
          <t>G1</t>
        </is>
      </c>
      <c r="E2098" t="inlineStr">
        <is>
          <t>VENEZUELANOS</t>
        </is>
      </c>
      <c r="F2098" t="inlineStr">
        <is>
          <t>RORAIMA</t>
        </is>
      </c>
      <c r="G2098" t="inlineStr">
        <is>
          <t>G1 RR</t>
        </is>
      </c>
      <c r="H2098" t="inlineStr">
        <is>
          <t>JOVENS SÃO FLAGRADOS FURTANDO FRASCOS DE SHAMPOO E CONDICIONADOR EM LOJA NO CENTRO DE BOA VISTA</t>
        </is>
      </c>
      <c r="I2098" t="inlineStr">
        <is>
          <t>SUSPEITOS ADMITIRAM CRIME E DISSERAM QUE PRETENDIAM VENDER OS ITENS PARA VENEZUELANAS.</t>
        </is>
      </c>
      <c r="J2098">
        <f>HYPERLINK("https://g1.globo.com/rr/roraima/noticia/jovens-sao-flagrados-furtando-frascos-de-shampoo-e-condicionador-em-loja-no-centro-de-boa-vista.ghtml", "URL")</f>
        <v/>
      </c>
      <c r="K2098">
        <f>HYPERLINK("https://raw.githubusercontent.com/marcosmapl/dataset_imigrantes/main/noticias_filtered/g1/venezuelanos/2018/06_jul/html/g1_2d19631a-2307-11ed-b24f-6dbe51e79fca_2301.html", "HTML")</f>
        <v/>
      </c>
      <c r="L2098">
        <f>HYPERLINK("https://raw.githubusercontent.com/marcosmapl/dataset_imigrantes/main/noticias_filtered/g1/venezuelanos/2018/06_jul/txt/g1_2d19631a-2307-11ed-b24f-6dbe51e79fca_2301.txt", "TXT")</f>
        <v/>
      </c>
    </row>
    <row r="2099">
      <c r="A2099" s="1" t="n">
        <v>2097</v>
      </c>
      <c r="B2099" t="n">
        <v>2018</v>
      </c>
      <c r="C2099" s="2" t="n">
        <v>43295.01640541667</v>
      </c>
      <c r="D2099" t="inlineStr">
        <is>
          <t>G1</t>
        </is>
      </c>
      <c r="E2099" t="inlineStr">
        <is>
          <t>VENEZUELANOS</t>
        </is>
      </c>
      <c r="F2099" t="inlineStr">
        <is>
          <t>RORAIMA</t>
        </is>
      </c>
      <c r="G2099" t="inlineStr">
        <is>
          <t>MARCELO MARQUES, G1 RR</t>
        </is>
      </c>
      <c r="H2099" t="inlineStr">
        <is>
          <t>CORPO DE VENEZUELANA GRÁVIDA É ENCONTRADO ENTERRADO EM CHÁCARA NA ZONA RURAL DE BOA VISTA</t>
        </is>
      </c>
      <c r="I2099" t="inlineStr">
        <is>
          <t>MARIDO DA JOVEM É SUSPEITO PELO CRIME, DIZ POLÍCIA. VÍTIMA FOI LOCALIZADA AO LADO DE ROUPAS QUEIMADAS.</t>
        </is>
      </c>
      <c r="J2099">
        <f>HYPERLINK("https://g1.globo.com/rr/roraima/noticia/corpo-de-venezuelana-gravida-e-encontrado-enterrado-em-chacara-na-zona-rural-de-boa-vista.ghtml", "URL")</f>
        <v/>
      </c>
      <c r="K2099">
        <f>HYPERLINK("https://raw.githubusercontent.com/marcosmapl/dataset_imigrantes/main/noticias_filtered/g1/venezuelanos/2018/06_jul/html/g1_e3d797bc-231f-11ed-b24f-6dbe51e79fca_3650.html", "HTML")</f>
        <v/>
      </c>
      <c r="L2099">
        <f>HYPERLINK("https://raw.githubusercontent.com/marcosmapl/dataset_imigrantes/main/noticias_filtered/g1/venezuelanos/2018/06_jul/txt/g1_e3d797bc-231f-11ed-b24f-6dbe51e79fca_3650.txt", "TXT")</f>
        <v/>
      </c>
    </row>
    <row r="2100">
      <c r="A2100" s="1" t="n">
        <v>2098</v>
      </c>
      <c r="B2100" t="n">
        <v>2018</v>
      </c>
      <c r="C2100" s="2" t="n">
        <v>43293.94531262731</v>
      </c>
      <c r="D2100" t="inlineStr">
        <is>
          <t>G1</t>
        </is>
      </c>
      <c r="E2100" t="inlineStr">
        <is>
          <t>VENEZUELANOS</t>
        </is>
      </c>
      <c r="F2100" t="inlineStr">
        <is>
          <t>RORAIMA</t>
        </is>
      </c>
      <c r="G2100" t="inlineStr">
        <is>
          <t>JACKSON FÉLIX, G1 RR</t>
        </is>
      </c>
      <c r="H2100" t="inlineStr">
        <is>
          <t>VENEZUELANA COM MENINGITE É CASO ISOLADO E NÃO HÁ RISCO DE EPIDEMIA EM RORAIMA, DECLARA MÉDICO</t>
        </is>
      </c>
      <c r="I2100" t="inlineStr">
        <is>
          <t>PACIENTE DE 32 ANOS RESPIRA COM AJUDA DE APARELHOS E SEGUE EM OBSERVAÇÃO NO HOSPITAL GERAL DE RORAIMA, EM BOA VISTA. ESTADO DE SAÚDE É GRAVE.</t>
        </is>
      </c>
      <c r="J2100">
        <f>HYPERLINK("https://g1.globo.com/rr/roraima/noticia/venezuelana-com-meningite-e-caso-isolado-e-nao-ha-risco-de-epidemia-em-roraima-diz-medico.ghtml", "URL")</f>
        <v/>
      </c>
      <c r="K2100">
        <f>HYPERLINK("https://raw.githubusercontent.com/marcosmapl/dataset_imigrantes/main/noticias_filtered/g1/venezuelanos/2018/06_jul/html/g1_9aba07d4-2326-11ed-b24f-6dbe51e79fca_3986.html", "HTML")</f>
        <v/>
      </c>
      <c r="L2100">
        <f>HYPERLINK("https://raw.githubusercontent.com/marcosmapl/dataset_imigrantes/main/noticias_filtered/g1/venezuelanos/2018/06_jul/txt/g1_9aba07d4-2326-11ed-b24f-6dbe51e79fca_3986.txt", "TXT")</f>
        <v/>
      </c>
    </row>
    <row r="2101">
      <c r="A2101" s="1" t="n">
        <v>2099</v>
      </c>
      <c r="B2101" t="n">
        <v>2018</v>
      </c>
      <c r="C2101" s="2" t="n">
        <v>43292.90860540509</v>
      </c>
      <c r="D2101" t="inlineStr">
        <is>
          <t>G1</t>
        </is>
      </c>
      <c r="E2101" t="inlineStr">
        <is>
          <t>VENEZUELANOS</t>
        </is>
      </c>
      <c r="F2101" t="inlineStr">
        <is>
          <t>RORAIMA</t>
        </is>
      </c>
      <c r="G2101" t="inlineStr">
        <is>
          <t>G1 RR</t>
        </is>
      </c>
      <c r="H2101" t="inlineStr">
        <is>
          <t>VENEZUELANA SUSPEITA DE FAZER PROCEDIMENTOS MÉDICOS DE FORMA ILEGAL É PRESA EM BOA VISTA</t>
        </is>
      </c>
      <c r="I2101" t="inlineStr">
        <is>
          <t>MULHER TAMBÉM REALIZAVA PROCEDIMENTOS ESTÉTICOS EM CONDIÇÕES INSALUBRES, DIZ CRM.</t>
        </is>
      </c>
      <c r="J2101">
        <f>HYPERLINK("https://g1.globo.com/rr/roraima/noticia/venezuelana-suspeita-de-fazer-procedimentos-medicos-de-forma-ilegal-e-presa-em-boa-vista.ghtml", "URL")</f>
        <v/>
      </c>
      <c r="K2101">
        <f>HYPERLINK("https://raw.githubusercontent.com/marcosmapl/dataset_imigrantes/main/noticias_filtered/g1/venezuelanos/2018/06_jul/html/g1_b2798e56-230f-11ed-b24f-6dbe51e79fca_2813.html", "HTML")</f>
        <v/>
      </c>
      <c r="L2101">
        <f>HYPERLINK("https://raw.githubusercontent.com/marcosmapl/dataset_imigrantes/main/noticias_filtered/g1/venezuelanos/2018/06_jul/txt/g1_b2798e56-230f-11ed-b24f-6dbe51e79fca_2813.txt", "TXT")</f>
        <v/>
      </c>
    </row>
    <row r="2102">
      <c r="A2102" s="1" t="n">
        <v>2100</v>
      </c>
      <c r="B2102" t="n">
        <v>2018</v>
      </c>
      <c r="C2102" s="2" t="n">
        <v>43292.8559084375</v>
      </c>
      <c r="D2102" t="inlineStr">
        <is>
          <t>G1</t>
        </is>
      </c>
      <c r="E2102" t="inlineStr">
        <is>
          <t>HAITIANOS</t>
        </is>
      </c>
      <c r="F2102" t="inlineStr">
        <is>
          <t>CORUMBÁ E REGIÃO</t>
        </is>
      </c>
      <c r="G2102" t="inlineStr">
        <is>
          <t>TV MORENA</t>
        </is>
      </c>
      <c r="H2102" t="inlineStr">
        <is>
          <t>POPULAÇÃO DE CORUMBÁ, MS, SE MOBILIZA PARA AJUDAR IMIGRANTES HAITIANOS QUE SOFREM COM O FRIO</t>
        </is>
      </c>
      <c r="I2102" t="inlineStr">
        <is>
          <t>COMERCIANTES E MORADORES CEDEM CASAS PARA IMIGRANTES NO PERÍODO DE NOITES FRIAS. SEGUNDO PASTORAL DA MOBILIDADE HUMANA, PELO MENOS 300 HAITIANOS ESTÃO NA CIDADE.</t>
        </is>
      </c>
      <c r="J2102">
        <f>HYPERLINK("https://g1.globo.com/ms/corumba-e-regiao/noticia/populacao-de-corumba-ms-se-mobiliza-para-ajudar-imigrantes-haitianos-que-sofrem-com-o-frio.ghtml", "URL")</f>
        <v/>
      </c>
      <c r="K2102">
        <f>HYPERLINK("https://raw.githubusercontent.com/marcosmapl/dataset_imigrantes/main/noticias_filtered/g1/haitianos/2018/06_jul/html/g1_f05d8494-22fa-11ed-b24f-6dbe51e79fca_2252.html", "HTML")</f>
        <v/>
      </c>
      <c r="L2102">
        <f>HYPERLINK("https://raw.githubusercontent.com/marcosmapl/dataset_imigrantes/main/noticias_filtered/g1/haitianos/2018/06_jul/txt/g1_f05d8494-22fa-11ed-b24f-6dbe51e79fca_2252.txt", "TXT")</f>
        <v/>
      </c>
    </row>
    <row r="2103">
      <c r="A2103" s="1" t="n">
        <v>2101</v>
      </c>
      <c r="B2103" t="n">
        <v>2018</v>
      </c>
      <c r="C2103" s="2" t="n">
        <v>43292.80124849537</v>
      </c>
      <c r="D2103" t="inlineStr">
        <is>
          <t>G1</t>
        </is>
      </c>
      <c r="E2103" t="inlineStr">
        <is>
          <t>VENEZUELANOS</t>
        </is>
      </c>
      <c r="F2103" t="inlineStr">
        <is>
          <t>RORAIMA</t>
        </is>
      </c>
      <c r="G2103" t="inlineStr">
        <is>
          <t>G1 RR</t>
        </is>
      </c>
      <c r="H2103" t="inlineStr">
        <is>
          <t>VENEZUELANA É INTERNADA COM MENINGITE BACTERIANA NO HOSPITAL GERAL DE RORAIMA</t>
        </is>
      </c>
      <c r="I2103" t="inlineStr">
        <is>
          <t>SECRETARIA ESTADUAL DE SAÚDE INFORMOU QUE PACIENTE ESTÁ EM OBSERVAÇÃO EM BOA VISTA. QUADRO DE SAÚDE É ESTÁVEL.</t>
        </is>
      </c>
      <c r="J2103">
        <f>HYPERLINK("https://g1.globo.com/rr/roraima/noticia/venezuelana-e-internada-com-meningite-bacteriana-no-hospital-geral-de-roraima.ghtml", "URL")</f>
        <v/>
      </c>
      <c r="K2103">
        <f>HYPERLINK("https://raw.githubusercontent.com/marcosmapl/dataset_imigrantes/main/noticias_filtered/g1/venezuelanos/2018/06_jul/html/g1_a3919e50-230b-11ed-b24f-6dbe51e79fca_2577.html", "HTML")</f>
        <v/>
      </c>
      <c r="L2103">
        <f>HYPERLINK("https://raw.githubusercontent.com/marcosmapl/dataset_imigrantes/main/noticias_filtered/g1/venezuelanos/2018/06_jul/txt/g1_a3919e50-230b-11ed-b24f-6dbe51e79fca_2577.txt", "TXT")</f>
        <v/>
      </c>
    </row>
    <row r="2104">
      <c r="A2104" s="1" t="n">
        <v>2102</v>
      </c>
      <c r="B2104" t="n">
        <v>2018</v>
      </c>
      <c r="C2104" s="2" t="n">
        <v>43292.60448266203</v>
      </c>
      <c r="D2104" t="inlineStr">
        <is>
          <t>G1</t>
        </is>
      </c>
      <c r="E2104" t="inlineStr">
        <is>
          <t>VENEZUELANOS</t>
        </is>
      </c>
      <c r="F2104" t="inlineStr">
        <is>
          <t>AMAZONAS</t>
        </is>
      </c>
      <c r="G2104" t="inlineStr">
        <is>
          <t>IVE RYLO, G1 AM</t>
        </is>
      </c>
      <c r="H2104" t="inlineStr">
        <is>
          <t>COM PLACAS DE PAPELÃO, IMIGRANTES VENEZUELANAS PEDEM EMPREGO EM RUA DE MANAUS: 'QUEREMOS SOBREVIVER DO NOSSO SUOR'</t>
        </is>
      </c>
      <c r="I2104" t="inlineStr">
        <is>
          <t>MULHERES E CRIANÇAS ENFRENTAM CALOR E FOME EM BUSCA DE EMPREGO, EM SEMÁFORO DA ZONA NORTE DA CAPITAL.</t>
        </is>
      </c>
      <c r="J2104">
        <f>HYPERLINK("https://g1.globo.com/am/amazonas/noticia/com-placas-de-papelao-imigrantes-venezuelanas-pedem-emprego-em-rua-de-manaus-queremos-sobreviver-do-nosso-suor.ghtml", "URL")</f>
        <v/>
      </c>
      <c r="K2104">
        <f>HYPERLINK("https://raw.githubusercontent.com/marcosmapl/dataset_imigrantes/main/noticias_filtered/g1/venezuelanos/2018/06_jul/html/g1_c1c174aa-2323-11ed-b24f-6dbe51e79fca_3827.html", "HTML")</f>
        <v/>
      </c>
      <c r="L2104">
        <f>HYPERLINK("https://raw.githubusercontent.com/marcosmapl/dataset_imigrantes/main/noticias_filtered/g1/venezuelanos/2018/06_jul/txt/g1_c1c174aa-2323-11ed-b24f-6dbe51e79fca_3827.txt", "TXT")</f>
        <v/>
      </c>
    </row>
    <row r="2105">
      <c r="A2105" s="1" t="n">
        <v>2103</v>
      </c>
      <c r="B2105" t="n">
        <v>2018</v>
      </c>
      <c r="C2105" s="2" t="n">
        <v>43291.85237268519</v>
      </c>
      <c r="D2105" t="inlineStr">
        <is>
          <t>A CRITICA</t>
        </is>
      </c>
      <c r="E2105" t="inlineStr">
        <is>
          <t>AMBOS</t>
        </is>
      </c>
      <c r="F2105" t="inlineStr">
        <is>
          <t>MANAUS</t>
        </is>
      </c>
      <c r="G2105" t="inlineStr">
        <is>
          <t>OSWALDO NETO</t>
        </is>
      </c>
      <c r="H2105" t="inlineStr">
        <is>
          <t>DECISÃO JUDICIAL AMEAÇA PERMANÊNCIA DE INDÍGENAS EM ÁREA DA SUFRAMA NA ZONA LESTE</t>
        </is>
      </c>
      <c r="I2105" t="inlineStr">
        <is>
          <t>INDÍGENAS DE VÁRIAS ETNIAS PEDIRAM APOIO DA DEFENSORIA PÚBLICA APÓS MANDADO DETERMINAR A SAÍDA DO GRUPO DO TERRENO, LOCALIZADO NO BAIRRO GRANDE VITÓRIA</t>
        </is>
      </c>
      <c r="J2105">
        <f>HYPERLINK("https://www.acritica.com/manaus/decis-o-judicial-ameaca-permanencia-de-indigenas-em-area-da-suframa-na-zona-leste-1.192623", "URL")</f>
        <v/>
      </c>
      <c r="K2105">
        <f>HYPERLINK("https://raw.githubusercontent.com/marcosmapl/dataset_imigrantes/main/noticias_filtered/a_critica/ambos/2018/06_jul/html/1.192623_1284.html", "HTML")</f>
        <v/>
      </c>
      <c r="L2105">
        <f>HYPERLINK("https://raw.githubusercontent.com/marcosmapl/dataset_imigrantes/main/noticias_filtered/a_critica/ambos/2018/06_jul/txt/1.192623_1284.txt", "TXT")</f>
        <v/>
      </c>
    </row>
    <row r="2106">
      <c r="A2106" s="1" t="n">
        <v>2104</v>
      </c>
      <c r="B2106" t="n">
        <v>2018</v>
      </c>
      <c r="C2106" s="2" t="n">
        <v>43290.87840652778</v>
      </c>
      <c r="D2106" t="inlineStr">
        <is>
          <t>G1</t>
        </is>
      </c>
      <c r="E2106" t="inlineStr">
        <is>
          <t>VENEZUELANOS</t>
        </is>
      </c>
      <c r="F2106" t="inlineStr">
        <is>
          <t>RORAIMA</t>
        </is>
      </c>
      <c r="G2106" t="inlineStr">
        <is>
          <t>ALAN CHAVES, G1 RR</t>
        </is>
      </c>
      <c r="H2106" t="inlineStr">
        <is>
          <t>NO ANIVERSÁRIO DE 128 ANOS DE BOA VISTA, PREFEITA CITA MELHORIAS E SE DIZ PREOCUPADA COM A IMIGRAÇÃO VENEZUELANA</t>
        </is>
      </c>
      <c r="I2106" t="inlineStr">
        <is>
          <t>CIDADE COMPLETOU 128 ANOS NESTA SEGUNDA (9). TERESA SURITA (MDB) DISSE QUE MP QUE LIBEROU R$ 190 MILHÕES PARA RORAIMA DEVE EXPIRAR HOJE. "A GENTE PRECISA COLOCAR AS NOSSAS NECESSIDADES DESSA MEDIDA PROVISÓRIA", DIZ.</t>
        </is>
      </c>
      <c r="J2106">
        <f>HYPERLINK("https://g1.globo.com/rr/roraima/noticia/no-aniversario-de-128-anos-de-boa-vista-prefeita-cita-melhorias-e-se-diz-preocupada-com-imigracao-venezuelana.ghtml", "URL")</f>
        <v/>
      </c>
      <c r="K2106">
        <f>HYPERLINK("https://raw.githubusercontent.com/marcosmapl/dataset_imigrantes/main/noticias_filtered/g1/venezuelanos/2018/06_jul/html/g1_96475cbe-230e-11ed-b24f-6dbe51e79fca_2746.html", "HTML")</f>
        <v/>
      </c>
      <c r="L2106">
        <f>HYPERLINK("https://raw.githubusercontent.com/marcosmapl/dataset_imigrantes/main/noticias_filtered/g1/venezuelanos/2018/06_jul/txt/g1_96475cbe-230e-11ed-b24f-6dbe51e79fca_2746.txt", "TXT")</f>
        <v/>
      </c>
    </row>
    <row r="2107">
      <c r="A2107" s="1" t="n">
        <v>2105</v>
      </c>
      <c r="B2107" t="n">
        <v>2018</v>
      </c>
      <c r="C2107" s="2" t="n">
        <v>43290.58263888889</v>
      </c>
      <c r="D2107" t="inlineStr">
        <is>
          <t>PORTAL AMAZONIA</t>
        </is>
      </c>
      <c r="E2107" t="inlineStr">
        <is>
          <t>VENEZUELANOS</t>
        </is>
      </c>
      <c r="F2107" t="inlineStr">
        <is>
          <t>CIDADES</t>
        </is>
      </c>
      <c r="G2107" t="inlineStr">
        <is>
          <t>REDAÇÃO</t>
        </is>
      </c>
      <c r="H2107" t="inlineStr">
        <is>
          <t>BOA VISTA COMPLETA 128 ANOS DE HISTÓRIAS, FATOS E CURIOSIDADES. CONFIRA</t>
        </is>
      </c>
      <c r="I2107" t="inlineStr">
        <is>
          <t>A CIDADE DE BOA VISTA, CAPITAL DE RORAIMA, É A ANIVERSARIANTE DO DIA, E COMPLETA NESTA SEGUNDA-FEIRA (9), 128 ANOS DE HISTÓRIAS. COM A POPULAÇÃO DE QUASE 400 MIL PESSOAS, BOA VISTA SOFRE OS PROBLEMAS E DESAFIOS DE QUALQUER CIDADE GRANDE.A EQUIPE DO P</t>
        </is>
      </c>
      <c r="J2107">
        <f>HYPERLINK("https://portalamazonia.com/noticias/cidades/boa-vista-completa-128-anos-de-historias-fatos-e-curiosidades-confira", "URL")</f>
        <v/>
      </c>
      <c r="K2107">
        <f>HYPERLINK("https://raw.githubusercontent.com/marcosmapl/dataset_imigrantes/main/noticias_filtered/portal_amazonia/venezuelanos/2018/06_jul/html/14978.14978_1466.html", "HTML")</f>
        <v/>
      </c>
      <c r="L2107">
        <f>HYPERLINK("https://raw.githubusercontent.com/marcosmapl/dataset_imigrantes/main/noticias_filtered/portal_amazonia/venezuelanos/2018/06_jul/txt/14978.14978_1466.txt", "TXT")</f>
        <v/>
      </c>
    </row>
    <row r="2108">
      <c r="A2108" s="1" t="n">
        <v>2106</v>
      </c>
      <c r="B2108" t="n">
        <v>2018</v>
      </c>
      <c r="C2108" s="2" t="n">
        <v>43289.61736111111</v>
      </c>
      <c r="D2108" t="inlineStr">
        <is>
          <t>PORTAL AMAZONIA</t>
        </is>
      </c>
      <c r="E2108" t="inlineStr">
        <is>
          <t>VENEZUELANOS</t>
        </is>
      </c>
      <c r="F2108" t="inlineStr">
        <is>
          <t>CIDADES</t>
        </is>
      </c>
      <c r="G2108" t="inlineStr">
        <is>
          <t>REDAÇÃO</t>
        </is>
      </c>
      <c r="H2108" t="inlineStr">
        <is>
          <t>MPF, MPT E DPU RECOMENDAM MELHORIAS NO ACOLHIMENTO A INDÍGENAS VENEZUELANOS EM SANTARÉM</t>
        </is>
      </c>
      <c r="I2108" t="inlineStr">
        <is>
          <t>O MINISTÉRIO PÚBLICO FEDERAL (MPF), O MINISTÉRIO PÚBLICO DO TRABALHO (MPT) E A DEFENSORIA PÚBLICA DA UNIÃO (DPU) ENCAMINHARAM, NA ÚLTIMA SEMANA, NOTIFICAÇÃO A VÁRIOS ÓRGÃOS PÚBLICOS EM QUE RECOMENDAM MELHORIAS NO ACOLHIMENTO AOS INDÍGENAS VENEZUELANO</t>
        </is>
      </c>
      <c r="J2108">
        <f>HYPERLINK("https://portalamazonia.com/noticias/cidades/mpf-mpt-e-dpu-recomendam-melhorias-no-acolhimento-a-indigenas-venezuelanos-em-santarem", "URL")</f>
        <v/>
      </c>
      <c r="K2108">
        <f>HYPERLINK("https://raw.githubusercontent.com/marcosmapl/dataset_imigrantes/main/noticias_filtered/portal_amazonia/venezuelanos/2018/06_jul/html/14967.14967_1532.html", "HTML")</f>
        <v/>
      </c>
      <c r="L2108">
        <f>HYPERLINK("https://raw.githubusercontent.com/marcosmapl/dataset_imigrantes/main/noticias_filtered/portal_amazonia/venezuelanos/2018/06_jul/txt/14967.14967_1532.txt", "TXT")</f>
        <v/>
      </c>
    </row>
    <row r="2109">
      <c r="A2109" s="1" t="n">
        <v>2107</v>
      </c>
      <c r="B2109" t="n">
        <v>2018</v>
      </c>
      <c r="C2109" s="2" t="n">
        <v>43289.61115740741</v>
      </c>
      <c r="D2109" t="inlineStr">
        <is>
          <t>A CRITICA</t>
        </is>
      </c>
      <c r="E2109" t="inlineStr">
        <is>
          <t>VENEZUELANOS</t>
        </is>
      </c>
      <c r="F2109" t="inlineStr">
        <is>
          <t>POLICIA</t>
        </is>
      </c>
      <c r="G2109" t="inlineStr">
        <is>
          <t>LARISSA GOLVIN</t>
        </is>
      </c>
      <c r="H2109" t="inlineStr">
        <is>
          <t>DROGAS AVALIADAS EM R$ 800 MIL SÃO APREENDIDAS EM EMBARCAÇÕES DO AM</t>
        </is>
      </c>
      <c r="I2109" t="inlineStr">
        <is>
          <t>A POLÍCIA CIVIL FEZ DUAS APREENSÕES DE DROGAS NESTE FIM DE SEMANA DURANTE A OPERAÇÃO BANZEIRO. DUAS PESSOAS FORAM PRESAS</t>
        </is>
      </c>
      <c r="J2109">
        <f>HYPERLINK("https://www.acritica.com/policia/drogas-avaliadas-em-r-800-mil-s-o-apreendidas-em-embarcac-es-do-am-1.192530", "URL")</f>
        <v/>
      </c>
      <c r="K2109">
        <f>HYPERLINK("https://raw.githubusercontent.com/marcosmapl/dataset_imigrantes/main/noticias_filtered/a_critica/venezuelanos/2018/06_jul/html/1.192530_102.html", "HTML")</f>
        <v/>
      </c>
      <c r="L2109">
        <f>HYPERLINK("https://raw.githubusercontent.com/marcosmapl/dataset_imigrantes/main/noticias_filtered/a_critica/venezuelanos/2018/06_jul/txt/1.192530_102.txt", "TXT")</f>
        <v/>
      </c>
    </row>
    <row r="2110">
      <c r="A2110" s="1" t="n">
        <v>2108</v>
      </c>
      <c r="B2110" t="n">
        <v>2018</v>
      </c>
      <c r="C2110" s="2" t="n">
        <v>43289.48231481481</v>
      </c>
      <c r="D2110" t="inlineStr">
        <is>
          <t>A CRITICA</t>
        </is>
      </c>
      <c r="E2110" t="inlineStr">
        <is>
          <t>VENEZUELANOS</t>
        </is>
      </c>
      <c r="F2110" t="inlineStr">
        <is>
          <t>MANAUS</t>
        </is>
      </c>
      <c r="G2110" t="inlineStr">
        <is>
          <t>ALIK MENEZES</t>
        </is>
      </c>
      <c r="H2110" t="inlineStr">
        <is>
          <t>AO CHEGAREM EM MANAUS, VENEZUELANOS SE DEPARAM COM 'GUERRA' PARA VAGAS DE TRABALHO</t>
        </is>
      </c>
      <c r="I2110" t="inlineStr">
        <is>
          <t>FUGINDO DA CRISE NA VENEZUELA, OS IMIGRANTES TÊM FÉ QUE POSSAM RECOMEÇAR SUAS VIDAS NO BRASIL, MAS CONSEGUIR EMPREGO FORMAL NÃO TEM SIDO UMA TAREFA FÁCIL</t>
        </is>
      </c>
      <c r="J2110">
        <f>HYPERLINK("https://www.acritica.com/manaus/ao-chegarem-em-manaus-venezuelanos-se-deparam-com-guerra-para-vagas-de-trabalho-1.192311", "URL")</f>
        <v/>
      </c>
      <c r="K2110">
        <f>HYPERLINK("https://raw.githubusercontent.com/marcosmapl/dataset_imigrantes/main/noticias_filtered/a_critica/venezuelanos/2018/06_jul/html/1.192311_607.html", "HTML")</f>
        <v/>
      </c>
      <c r="L2110">
        <f>HYPERLINK("https://raw.githubusercontent.com/marcosmapl/dataset_imigrantes/main/noticias_filtered/a_critica/venezuelanos/2018/06_jul/txt/1.192311_607.txt", "TXT")</f>
        <v/>
      </c>
    </row>
    <row r="2111">
      <c r="A2111" s="1" t="n">
        <v>2109</v>
      </c>
      <c r="B2111" t="n">
        <v>2018</v>
      </c>
      <c r="C2111" s="2" t="n">
        <v>43286.78430053241</v>
      </c>
      <c r="D2111" t="inlineStr">
        <is>
          <t>G1</t>
        </is>
      </c>
      <c r="E2111" t="inlineStr">
        <is>
          <t>HAITIANOS</t>
        </is>
      </c>
      <c r="F2111" t="inlineStr">
        <is>
          <t>CORUMBÁ E REGIÃO</t>
        </is>
      </c>
      <c r="G2111" t="inlineStr">
        <is>
          <t>CARLA SALENTIM, TV MORENA</t>
        </is>
      </c>
      <c r="H2111" t="inlineStr">
        <is>
          <t>CORUMBÁ, MS, SE TRANSFORMA NA NOVA ROTA DE ENTRADA ILEGAL DE ESTRANGEIROS NO BRASIL</t>
        </is>
      </c>
      <c r="I2111" t="inlineStr">
        <is>
          <t>SÓ EM 2018,  A POLÍCIA FEDERAL NOTIFICOU NA CIDADE 230 IMIGRANTES QUE ENTRARAM NO PAÍS DE MANEIRA IRREGULAR, A DEIXAREM O TERRITÓRIO BRASILEIRO.</t>
        </is>
      </c>
      <c r="J2111">
        <f>HYPERLINK("https://g1.globo.com/ms/corumba-e-regiao/noticia/corumba-ms-se-transforma-na-nova-rota-de-entrada-ilegal-de-estrangeiros-no-brasil.ghtml", "URL")</f>
        <v/>
      </c>
      <c r="K2111">
        <f>HYPERLINK("https://raw.githubusercontent.com/marcosmapl/dataset_imigrantes/main/noticias_filtered/g1/haitianos/2018/06_jul/html/g1_00ba51a6-2309-11ed-b24f-6dbe51e79fca_2419.html", "HTML")</f>
        <v/>
      </c>
      <c r="L2111">
        <f>HYPERLINK("https://raw.githubusercontent.com/marcosmapl/dataset_imigrantes/main/noticias_filtered/g1/haitianos/2018/06_jul/txt/g1_00ba51a6-2309-11ed-b24f-6dbe51e79fca_2419.txt", "TXT")</f>
        <v/>
      </c>
    </row>
    <row r="2112">
      <c r="A2112" s="1" t="n">
        <v>2110</v>
      </c>
      <c r="B2112" t="n">
        <v>2018</v>
      </c>
      <c r="C2112" s="2" t="n">
        <v>43286.54465277777</v>
      </c>
      <c r="D2112" t="inlineStr">
        <is>
          <t>A CRITICA</t>
        </is>
      </c>
      <c r="E2112" t="inlineStr">
        <is>
          <t>VENEZUELANOS</t>
        </is>
      </c>
      <c r="F2112" t="inlineStr">
        <is>
          <t>MANAUS</t>
        </is>
      </c>
      <c r="G2112" t="inlineStr">
        <is>
          <t>ACRÍTICA.COM</t>
        </is>
      </c>
      <c r="H2112" t="inlineStr">
        <is>
          <t>ÓRGÃOS FEDERAIS COBRAM CONCLUSÃO DE ABRIGO PARA VENEZUELANOS EM MANAUS</t>
        </is>
      </c>
      <c r="I2112" t="inlineStr">
        <is>
          <t>SECRETARIAS ESTADUAIS E MUNICIPAIS HAVIAM PROMETIDO ENTREGAR CRONOGRAMA DE OBRAS ATÉ MARÇO PASSADO, O QUE NUNCA FOI FEITO, SEGUNDO O MPF</t>
        </is>
      </c>
      <c r="J2112">
        <f>HYPERLINK("https://www.acritica.com/manaus/org-os-federais-cobram-conclus-o-de-abrigo-para-venezuelanos-em-manaus-1.192254", "URL")</f>
        <v/>
      </c>
      <c r="K2112">
        <f>HYPERLINK("https://raw.githubusercontent.com/marcosmapl/dataset_imigrantes/main/noticias_filtered/a_critica/venezuelanos/2018/06_jul/html/1.192254_155.html", "HTML")</f>
        <v/>
      </c>
      <c r="L2112">
        <f>HYPERLINK("https://raw.githubusercontent.com/marcosmapl/dataset_imigrantes/main/noticias_filtered/a_critica/venezuelanos/2018/06_jul/txt/1.192254_155.txt", "TXT")</f>
        <v/>
      </c>
    </row>
    <row r="2113">
      <c r="A2113" s="1" t="n">
        <v>2111</v>
      </c>
      <c r="B2113" t="n">
        <v>2018</v>
      </c>
      <c r="C2113" s="2" t="n">
        <v>43286.52013888889</v>
      </c>
      <c r="D2113" t="inlineStr">
        <is>
          <t>PORTAL AMAZONIA</t>
        </is>
      </c>
      <c r="E2113" t="inlineStr">
        <is>
          <t>VENEZUELANOS</t>
        </is>
      </c>
      <c r="F2113" t="inlineStr">
        <is>
          <t>CIDADES</t>
        </is>
      </c>
      <c r="G2113" t="inlineStr">
        <is>
          <t>REDAÇÃO</t>
        </is>
      </c>
      <c r="H2113" t="inlineStr">
        <is>
          <t>GRUPO DE VENEZUELANOS É LEVADO PARA ABRIGO TEMPORÁRIO EM MANAUS</t>
        </is>
      </c>
      <c r="I2113" t="inlineStr">
        <is>
          <t>UM GRUPO DE VENEZUELANOS QUE VIVIA NA ÁREA DA RODOVIÁRIA E VIADUTO DE FLORES, NA ZONA CENTRO SUL DE MANAUS (AM), FOI TRANSFERIDO PARA UM ABRIGO DA PREFEITURA. O ABRIGO QUE FICA NO BAIRRO ALFREDO NASCIMENTO, NA ZONA NORTE. ELES PERMANECEM NO LOCAL ATÉ</t>
        </is>
      </c>
      <c r="J2113">
        <f>HYPERLINK("https://portalamazonia.com/noticias/cidades/grupo-de-venezuelanos-e-levado-para-abrigo-temporario-em-manaus", "URL")</f>
        <v/>
      </c>
      <c r="K2113">
        <f>HYPERLINK("https://raw.githubusercontent.com/marcosmapl/dataset_imigrantes/main/noticias_filtered/portal_amazonia/venezuelanos/2018/06_jul/html/14927.25437_1574.html", "HTML")</f>
        <v/>
      </c>
      <c r="L2113">
        <f>HYPERLINK("https://raw.githubusercontent.com/marcosmapl/dataset_imigrantes/main/noticias_filtered/portal_amazonia/venezuelanos/2018/06_jul/txt/14927.25437_1574.txt", "TXT")</f>
        <v/>
      </c>
    </row>
    <row r="2114">
      <c r="A2114" s="1" t="n">
        <v>2112</v>
      </c>
      <c r="B2114" t="n">
        <v>2018</v>
      </c>
      <c r="C2114" s="2" t="n">
        <v>43286.48055555556</v>
      </c>
      <c r="D2114" t="inlineStr">
        <is>
          <t>PORTAL AMAZONIA</t>
        </is>
      </c>
      <c r="E2114" t="inlineStr">
        <is>
          <t>VENEZUELANOS</t>
        </is>
      </c>
      <c r="F2114" t="inlineStr">
        <is>
          <t>CIDADES</t>
        </is>
      </c>
      <c r="G2114" t="inlineStr">
        <is>
          <t>REDAÇÃO</t>
        </is>
      </c>
      <c r="H2114" t="inlineStr">
        <is>
          <t>EPIDEMIA DE SARAMPO AMEAÇA INDÍGENAS YANOMAMI DE RORAIMA E DA VENEZUELA</t>
        </is>
      </c>
      <c r="I2114" t="inlineStr">
        <is>
          <t>EPIDEMIA DE SARAMPO JÁ ATINGE INDÍGENAS YANOMAMI TANTO NO BRASIL QUANTO NA VENEZUELA.A ORGANIZAÇÃO SURVIVAL INTERNATIONAL TEM DENUNCIADO A SITUAÇÃO E ALERTA PARA O RISCO DE EXTERMÍNIO DE INDÍGENAS ISOLADOS.DE ACORDO COM A PESQUISADORA DA ENTIDADE, SA</t>
        </is>
      </c>
      <c r="J2114">
        <f>HYPERLINK("https://portalamazonia.com/noticias/cidades/epidemia-de-sarampo-ameaca-indigenas-yanomami-de-roraima-e-da-venezuela", "URL")</f>
        <v/>
      </c>
      <c r="K2114">
        <f>HYPERLINK("https://raw.githubusercontent.com/marcosmapl/dataset_imigrantes/main/noticias_filtered/portal_amazonia/venezuelanos/2018/06_jul/html/14922.14922_1557.html", "HTML")</f>
        <v/>
      </c>
      <c r="L2114">
        <f>HYPERLINK("https://raw.githubusercontent.com/marcosmapl/dataset_imigrantes/main/noticias_filtered/portal_amazonia/venezuelanos/2018/06_jul/txt/14922.14922_1557.txt", "TXT")</f>
        <v/>
      </c>
    </row>
    <row r="2115">
      <c r="A2115" s="1" t="n">
        <v>2113</v>
      </c>
      <c r="B2115" t="n">
        <v>2018</v>
      </c>
      <c r="C2115" s="2" t="n">
        <v>43286.03656895833</v>
      </c>
      <c r="D2115" t="inlineStr">
        <is>
          <t>G1</t>
        </is>
      </c>
      <c r="E2115" t="inlineStr">
        <is>
          <t>HAITIANOS</t>
        </is>
      </c>
      <c r="F2115" t="inlineStr">
        <is>
          <t>SANTA CATARINA</t>
        </is>
      </c>
      <c r="G2115" t="inlineStr">
        <is>
          <t>NSC TV</t>
        </is>
      </c>
      <c r="H2115" t="inlineStr">
        <is>
          <t>FOGO EM EMPRESA DE ITAJAÍ COMEÇOU EM ÁREA QUE DEVERIA ESTAR DESATIVADA, DIZ FUNDAÇÃO DE MEIO AMBIENTE</t>
        </is>
      </c>
      <c r="I2115" t="inlineStr">
        <is>
          <t>EM 2016, DOIS HAITIANOS FORAM ATINGIDOS POR EXPLOSÃO NO LOCAL. UM DELES MORREU.</t>
        </is>
      </c>
      <c r="J2115">
        <f>HYPERLINK("https://g1.globo.com/sc/santa-catarina/noticia/fogo-em-empresa-de-itajai-comecou-em-area-que-deveria-estar-desativada-diz-fundacao-de-meio-ambiente.ghtml", "URL")</f>
        <v/>
      </c>
      <c r="K2115">
        <f>HYPERLINK("https://raw.githubusercontent.com/marcosmapl/dataset_imigrantes/main/noticias_filtered/g1/haitianos/2018/06_jul/html/g1_afcfbe66-2326-11ed-b24f-6dbe51e79fca_3992.html", "HTML")</f>
        <v/>
      </c>
      <c r="L2115">
        <f>HYPERLINK("https://raw.githubusercontent.com/marcosmapl/dataset_imigrantes/main/noticias_filtered/g1/haitianos/2018/06_jul/txt/g1_afcfbe66-2326-11ed-b24f-6dbe51e79fca_3992.txt", "TXT")</f>
        <v/>
      </c>
    </row>
    <row r="2116">
      <c r="A2116" s="1" t="n">
        <v>2114</v>
      </c>
      <c r="B2116" t="n">
        <v>2018</v>
      </c>
      <c r="C2116" s="2" t="n">
        <v>43285.88402777778</v>
      </c>
      <c r="D2116" t="inlineStr">
        <is>
          <t>A CRITICA</t>
        </is>
      </c>
      <c r="E2116" t="inlineStr">
        <is>
          <t>VENEZUELANOS</t>
        </is>
      </c>
      <c r="F2116" t="inlineStr">
        <is>
          <t>MANAUS</t>
        </is>
      </c>
      <c r="G2116" t="inlineStr">
        <is>
          <t>ISABELLA PINA</t>
        </is>
      </c>
      <c r="H2116" t="inlineStr">
        <is>
          <t>FOME, SAUDADE E ESPERANÇA: POR VIDA MELHOR, VENEZUELANOS HABITAM SEMÁFORO DE MANAUS</t>
        </is>
      </c>
      <c r="I2116" t="inlineStr">
        <is>
          <t>GRUPO DE IMIGRANTES OSTENTAM CARTAZES COM PEDIDOS DE EMPREGO E AJUDA FINANCEIRA PARA SUSTENTO. DE CRIANÇAS A IDOSOS, A LUTA SE REPETE EM DISCURSOS SOFRIDOS SOB O SOL DA CAPITAL. GRUPO VAI, TODOS OS DIAS, À RUA</t>
        </is>
      </c>
      <c r="J2116">
        <f>HYPERLINK("https://www.acritica.com/manaus/fome-saudade-e-esperanca-por-vida-melhor-venezuelanos-habitam-semaforo-de-manaus-1.192025", "URL")</f>
        <v/>
      </c>
      <c r="K2116">
        <f>HYPERLINK("https://raw.githubusercontent.com/marcosmapl/dataset_imigrantes/main/noticias_filtered/a_critica/venezuelanos/2018/06_jul/html/1.192025_206.html", "HTML")</f>
        <v/>
      </c>
      <c r="L2116">
        <f>HYPERLINK("https://raw.githubusercontent.com/marcosmapl/dataset_imigrantes/main/noticias_filtered/a_critica/venezuelanos/2018/06_jul/txt/1.192025_206.txt", "TXT")</f>
        <v/>
      </c>
    </row>
    <row r="2117">
      <c r="A2117" s="1" t="n">
        <v>2115</v>
      </c>
      <c r="B2117" t="n">
        <v>2018</v>
      </c>
      <c r="C2117" s="2" t="n">
        <v>43285.69390428241</v>
      </c>
      <c r="D2117" t="inlineStr">
        <is>
          <t>G1</t>
        </is>
      </c>
      <c r="E2117" t="inlineStr">
        <is>
          <t>HAITIANOS</t>
        </is>
      </c>
      <c r="F2117" t="inlineStr">
        <is>
          <t>SANTA CATARINA</t>
        </is>
      </c>
      <c r="G2117" t="inlineStr">
        <is>
          <t>G1 SC</t>
        </is>
      </c>
      <c r="H2117" t="inlineStr">
        <is>
          <t>FÁBRICA QUE PEGOU FOGO EM SC TEVE EXPLOSÃO EM 2016 QUE DEIXOU UM HAITIANO MORTO E OUTRO COM 90% DO CORPO QUEIMADO</t>
        </is>
      </c>
      <c r="I2117" t="inlineStr">
        <is>
          <t>EMPRESA EM ITAJAÍ FICARÁ INTERDITADA NESTA QUARTA-FEIRA (4) PARA PERÍCIA. EM JANEIRO DESTE ANO, VAZAMENTO DE GÁS TAMBÉM INTERDITOU LOCAL PROVISORIAMENTE.</t>
        </is>
      </c>
      <c r="J2117">
        <f>HYPERLINK("https://g1.globo.com/sc/santa-catarina/noticia/fabrica-que-pegou-fogo-em-sc-teve-explosao-em-2016-que-deixou-um-haitiano-morto-e-outro-com-90-do-corpo-queimado.ghtml", "URL")</f>
        <v/>
      </c>
      <c r="K2117">
        <f>HYPERLINK("https://raw.githubusercontent.com/marcosmapl/dataset_imigrantes/main/noticias_filtered/g1/haitianos/2018/06_jul/html/g1_df0502c0-22f6-11ed-b24f-6dbe51e79fca_2044.html", "HTML")</f>
        <v/>
      </c>
      <c r="L2117">
        <f>HYPERLINK("https://raw.githubusercontent.com/marcosmapl/dataset_imigrantes/main/noticias_filtered/g1/haitianos/2018/06_jul/txt/g1_df0502c0-22f6-11ed-b24f-6dbe51e79fca_2044.txt", "TXT")</f>
        <v/>
      </c>
    </row>
    <row r="2118">
      <c r="A2118" s="1" t="n">
        <v>2116</v>
      </c>
      <c r="B2118" t="n">
        <v>2018</v>
      </c>
      <c r="C2118" s="2" t="n">
        <v>43285.59861111111</v>
      </c>
      <c r="D2118" t="inlineStr">
        <is>
          <t>A CRITICA</t>
        </is>
      </c>
      <c r="E2118" t="inlineStr">
        <is>
          <t>VENEZUELANOS</t>
        </is>
      </c>
      <c r="F2118" t="inlineStr">
        <is>
          <t>MANAUS</t>
        </is>
      </c>
      <c r="G2118" t="inlineStr">
        <is>
          <t>SILANE SOUZA</t>
        </is>
      </c>
      <c r="H2118" t="inlineStr">
        <is>
          <t>POLÍCIA INVESTIGA VENDA DE REMÉDIOS CLANDESTINOS NO CENTRO DE MANAUS</t>
        </is>
      </c>
      <c r="I2118" t="inlineStr">
        <is>
          <t>SEGUNDO A POLÍCIA, INFRATORES ESTÃO SENDO IDENTIFICADOS, AUTUADOS E INDICIADOS, E TENDO OS MEDICAMENTOS APREENDIDOS</t>
        </is>
      </c>
      <c r="J2118">
        <f>HYPERLINK("https://www.acritica.com/manaus/policia-investiga-venda-de-remedios-clandestinos-no-centro-de-manaus-1.192069", "URL")</f>
        <v/>
      </c>
      <c r="K2118">
        <f>HYPERLINK("https://raw.githubusercontent.com/marcosmapl/dataset_imigrantes/main/noticias_filtered/a_critica/venezuelanos/2018/06_jul/html/1.192069_1318.html", "HTML")</f>
        <v/>
      </c>
      <c r="L2118">
        <f>HYPERLINK("https://raw.githubusercontent.com/marcosmapl/dataset_imigrantes/main/noticias_filtered/a_critica/venezuelanos/2018/06_jul/txt/1.192069_1318.txt", "TXT")</f>
        <v/>
      </c>
    </row>
    <row r="2119">
      <c r="A2119" s="1" t="n">
        <v>2117</v>
      </c>
      <c r="B2119" t="n">
        <v>2018</v>
      </c>
      <c r="C2119" s="2" t="n">
        <v>43285.49375</v>
      </c>
      <c r="D2119" t="inlineStr">
        <is>
          <t>PORTAL AMAZONIA</t>
        </is>
      </c>
      <c r="E2119" t="inlineStr">
        <is>
          <t>VENEZUELANOS</t>
        </is>
      </c>
      <c r="F2119" t="inlineStr">
        <is>
          <t>CIDADES</t>
        </is>
      </c>
      <c r="G2119" t="inlineStr">
        <is>
          <t>REDAÇÃO</t>
        </is>
      </c>
      <c r="H2119" t="inlineStr">
        <is>
          <t>MAIS 163 VENEZUELANOS SÃO TRANSFERIDOS DE RORAIMA PARA OUTROS ESTADOS</t>
        </is>
      </c>
      <c r="I2119" t="inlineStr">
        <is>
          <t>UM VOO DA FORÇA AÉREA BRASILEIRA (FAB) TRANSPORTOU, NESTA TERÇA-FEIRA (3), UM GRUPO DE 163 VENEZUELANOS QUE ESTAVAM EM BOA VISTA, CAPITAL DE RORAIMA, PARA OS ESTADOS DE PERNAMBUCO, DA PARAÍBA E DO RIO DE JANEIRO. DESTES, 69 SEGUIRAM PARA O MUNIC</t>
        </is>
      </c>
      <c r="J2119">
        <f>HYPERLINK("https://portalamazonia.com/noticias/cidades/mais-163-venezuelanos-sao-transferidos-de-roraima-para-outros-estados", "URL")</f>
        <v/>
      </c>
      <c r="K2119">
        <f>HYPERLINK("https://raw.githubusercontent.com/marcosmapl/dataset_imigrantes/main/noticias_filtered/portal_amazonia/venezuelanos/2018/06_jul/html/14892.14892_1472.html", "HTML")</f>
        <v/>
      </c>
      <c r="L2119">
        <f>HYPERLINK("https://raw.githubusercontent.com/marcosmapl/dataset_imigrantes/main/noticias_filtered/portal_amazonia/venezuelanos/2018/06_jul/txt/14892.14892_1472.txt", "TXT")</f>
        <v/>
      </c>
    </row>
    <row r="2120">
      <c r="A2120" s="1" t="n">
        <v>2118</v>
      </c>
      <c r="B2120" t="n">
        <v>2018</v>
      </c>
      <c r="C2120" s="2" t="n">
        <v>43285.375</v>
      </c>
      <c r="D2120" t="inlineStr">
        <is>
          <t>A CRITICA</t>
        </is>
      </c>
      <c r="E2120" t="inlineStr">
        <is>
          <t>VENEZUELANOS</t>
        </is>
      </c>
      <c r="F2120" t="inlineStr">
        <is>
          <t>OPINIAO</t>
        </is>
      </c>
      <c r="G2120" t="inlineStr"/>
      <c r="H2120" t="inlineStr">
        <is>
          <t>UNIÃO CONTRA O SARAMPO</t>
        </is>
      </c>
      <c r="I2120" t="inlineStr"/>
      <c r="J2120">
        <f>HYPERLINK("https://www.acritica.com/opiniao/uni-o-contra-o-sarampo-1.230435", "URL")</f>
        <v/>
      </c>
      <c r="K2120">
        <f>HYPERLINK("https://raw.githubusercontent.com/marcosmapl/dataset_imigrantes/main/noticias_filtered/a_critica/venezuelanos/2018/06_jul/html/1.230435_63.html", "HTML")</f>
        <v/>
      </c>
      <c r="L2120">
        <f>HYPERLINK("https://raw.githubusercontent.com/marcosmapl/dataset_imigrantes/main/noticias_filtered/a_critica/venezuelanos/2018/06_jul/txt/1.230435_63.txt", "TXT")</f>
        <v/>
      </c>
    </row>
    <row r="2121">
      <c r="A2121" s="1" t="n">
        <v>2119</v>
      </c>
      <c r="B2121" t="n">
        <v>2018</v>
      </c>
      <c r="C2121" s="2" t="n">
        <v>43285.01390631944</v>
      </c>
      <c r="D2121" t="inlineStr">
        <is>
          <t>G1</t>
        </is>
      </c>
      <c r="E2121" t="inlineStr">
        <is>
          <t>VENEZUELANOS</t>
        </is>
      </c>
      <c r="F2121" t="inlineStr">
        <is>
          <t>AMAZONAS</t>
        </is>
      </c>
      <c r="G2121" t="inlineStr">
        <is>
          <t>G1 AM</t>
        </is>
      </c>
      <c r="H2121" t="inlineStr">
        <is>
          <t>VENEZUELANO É DETIDO POR VENDA ILEGAL DE REMÉDIOS NO CENTRO DE MANAUS</t>
        </is>
      </c>
      <c r="I2121" t="inlineStr">
        <is>
          <t>DURANTE DEPOIMENTO, HOMEM DISSE QUE VENDIA OS MEDICAMENTOS POR NÃO TER OUTRA FONTE DE RENDA.</t>
        </is>
      </c>
      <c r="J2121">
        <f>HYPERLINK("https://g1.globo.com/am/amazonas/noticia/venezuelano-e-detido-por-venda-ilegal-de-remedios-no-centro-de-manaus.ghtml", "URL")</f>
        <v/>
      </c>
      <c r="K2121">
        <f>HYPERLINK("https://raw.githubusercontent.com/marcosmapl/dataset_imigrantes/main/noticias_filtered/g1/venezuelanos/2018/06_jul/html/g1_dd1c44dc-2323-11ed-b24f-6dbe51e79fca_3833.html", "HTML")</f>
        <v/>
      </c>
      <c r="L2121">
        <f>HYPERLINK("https://raw.githubusercontent.com/marcosmapl/dataset_imigrantes/main/noticias_filtered/g1/venezuelanos/2018/06_jul/txt/g1_dd1c44dc-2323-11ed-b24f-6dbe51e79fca_3833.txt", "TXT")</f>
        <v/>
      </c>
    </row>
    <row r="2122">
      <c r="A2122" s="1" t="n">
        <v>2120</v>
      </c>
      <c r="B2122" t="n">
        <v>2018</v>
      </c>
      <c r="C2122" s="2" t="n">
        <v>43283.78611111111</v>
      </c>
      <c r="D2122" t="inlineStr">
        <is>
          <t>A CRITICA</t>
        </is>
      </c>
      <c r="E2122" t="inlineStr">
        <is>
          <t>VENEZUELANOS</t>
        </is>
      </c>
      <c r="F2122" t="inlineStr"/>
      <c r="G2122" t="inlineStr">
        <is>
          <t>ACRÍTICA.COM</t>
        </is>
      </c>
      <c r="H2122" t="inlineStr">
        <is>
          <t>NÚMERO DE CASOS CONFIRMADOS DE SARAMPO NO AMAZONAS JÁ SUPERA O DE RORAIMA</t>
        </is>
      </c>
      <c r="I2122" t="inlineStr">
        <is>
          <t>ESTADO ATINGIU A MARCA DE 263 REGISTROS CONTRA 200 DO ESTADO VIZINHO, ÁREA ONDE INICIOU O SURTO DA DOENÇA DEVIDO À CHEGADA DE IMIGRANTES VENEZUELANOS</t>
        </is>
      </c>
      <c r="J2122">
        <f>HYPERLINK("https://www.acritica.com/numero-de-casos-confirmados-de-sarampo-no-amazonas-ja-supera-o-de-roraima-1.191996", "URL")</f>
        <v/>
      </c>
      <c r="K2122">
        <f>HYPERLINK("https://raw.githubusercontent.com/marcosmapl/dataset_imigrantes/main/noticias_filtered/a_critica/venezuelanos/2018/06_jul/html/1.191996_1011.html", "HTML")</f>
        <v/>
      </c>
      <c r="L2122">
        <f>HYPERLINK("https://raw.githubusercontent.com/marcosmapl/dataset_imigrantes/main/noticias_filtered/a_critica/venezuelanos/2018/06_jul/txt/1.191996_1011.txt", "TXT")</f>
        <v/>
      </c>
    </row>
    <row r="2123">
      <c r="A2123" s="1" t="n">
        <v>2121</v>
      </c>
      <c r="B2123" t="n">
        <v>2018</v>
      </c>
      <c r="C2123" s="2" t="n">
        <v>43279.9573153588</v>
      </c>
      <c r="D2123" t="inlineStr">
        <is>
          <t>G1</t>
        </is>
      </c>
      <c r="E2123" t="inlineStr">
        <is>
          <t>HAITIANOS</t>
        </is>
      </c>
      <c r="F2123" t="inlineStr">
        <is>
          <t>RIO DE JANEIRO</t>
        </is>
      </c>
      <c r="G2123" t="inlineStr">
        <is>
          <t>RJTV</t>
        </is>
      </c>
      <c r="H2123" t="inlineStr">
        <is>
          <t>HAITIANOS EM CONDIÇÕES ANÁLOGAS À ESCRAVIDÃO SÃO RESGATADOS EM JACAREPAGUÁ, RIO</t>
        </is>
      </c>
      <c r="I2123" t="inlineStr">
        <is>
          <t>OS QUATRO ESTRANGEIROS TRABALHAVAM NUM EMPREENDIMENTO ILEGAL. APARTAMENTOS INACABADOS ERAM VENDIDOS POR R$ 45 MIL.</t>
        </is>
      </c>
      <c r="J2123">
        <f>HYPERLINK("https://g1.globo.com/rj/rio-de-janeiro/noticia/haitianos-em-condicoes-analogas-a-escravidao-sao-resgatados-em-jacarepagua-rio.ghtml", "URL")</f>
        <v/>
      </c>
      <c r="K2123">
        <f>HYPERLINK("https://raw.githubusercontent.com/marcosmapl/dataset_imigrantes/main/noticias_filtered/g1/haitianos/2018/05_jun/html/g1_05f89114-22fa-11ed-b24f-6dbe51e79fca_2195.html", "HTML")</f>
        <v/>
      </c>
      <c r="L2123">
        <f>HYPERLINK("https://raw.githubusercontent.com/marcosmapl/dataset_imigrantes/main/noticias_filtered/g1/haitianos/2018/05_jun/txt/g1_05f89114-22fa-11ed-b24f-6dbe51e79fca_2195.txt", "TXT")</f>
        <v/>
      </c>
    </row>
    <row r="2124">
      <c r="A2124" s="1" t="n">
        <v>2122</v>
      </c>
      <c r="B2124" t="n">
        <v>2018</v>
      </c>
      <c r="C2124" s="2" t="n">
        <v>43279.52569444444</v>
      </c>
      <c r="D2124" t="inlineStr">
        <is>
          <t>PORTAL AMAZONIA</t>
        </is>
      </c>
      <c r="E2124" t="inlineStr">
        <is>
          <t>VENEZUELANOS</t>
        </is>
      </c>
      <c r="F2124" t="inlineStr">
        <is>
          <t>CIDADES</t>
        </is>
      </c>
      <c r="G2124" t="inlineStr">
        <is>
          <t>REDAÇÃO</t>
        </is>
      </c>
      <c r="H2124" t="inlineStr">
        <is>
          <t>BOMBEIRAS DE RORAIMA AUXILIAM GESTANTE EM PARTO DURANTE VOO</t>
        </is>
      </c>
      <c r="I2124" t="inlineStr">
        <is>
          <t>HÁ 14 ANOS NO CORPO DE BOMBEIROS MILITAR DE RORAIMA (CBMRR), A TENENTE MONIC SOARES VIVEU NA MADRUGADA DESTA QUARTA-FEIRA (27), UMA EXPERIÊNCIA ÚNICA. ELA E A SUBTENENTE ODILENE MARQUES AJUDARAM A MÉDICA FABRÍCIA FREITAS NUM PARTO REALIZADO A 35 MIL</t>
        </is>
      </c>
      <c r="J2124">
        <f>HYPERLINK("https://portalamazonia.com/noticias/cidades/bombeiras-de-roraima-auxiliam-gestante-em-parto-durante-voo", "URL")</f>
        <v/>
      </c>
      <c r="K2124">
        <f>HYPERLINK("https://raw.githubusercontent.com/marcosmapl/dataset_imigrantes/main/noticias_filtered/portal_amazonia/venezuelanos/2018/05_jun/html/14802.14802_1547.html", "HTML")</f>
        <v/>
      </c>
      <c r="L2124">
        <f>HYPERLINK("https://raw.githubusercontent.com/marcosmapl/dataset_imigrantes/main/noticias_filtered/portal_amazonia/venezuelanos/2018/05_jun/txt/14802.14802_1547.txt", "TXT")</f>
        <v/>
      </c>
    </row>
    <row r="2125">
      <c r="A2125" s="1" t="n">
        <v>2123</v>
      </c>
      <c r="B2125" t="n">
        <v>2018</v>
      </c>
      <c r="C2125" s="2" t="n">
        <v>43279.48708333333</v>
      </c>
      <c r="D2125" t="inlineStr">
        <is>
          <t>A CRITICA</t>
        </is>
      </c>
      <c r="E2125" t="inlineStr">
        <is>
          <t>VENEZUELANOS</t>
        </is>
      </c>
      <c r="F2125" t="inlineStr">
        <is>
          <t>OPINIAO</t>
        </is>
      </c>
      <c r="G2125" t="inlineStr"/>
      <c r="H2125" t="inlineStr">
        <is>
          <t>A QUESTÃO DOS REFUGIADOS</t>
        </is>
      </c>
      <c r="I2125" t="inlineStr"/>
      <c r="J2125">
        <f>HYPERLINK("https://www.acritica.com/opiniao/a-quest-o-dos-refugiados-1.230475", "URL")</f>
        <v/>
      </c>
      <c r="K2125">
        <f>HYPERLINK("https://raw.githubusercontent.com/marcosmapl/dataset_imigrantes/main/noticias_filtered/a_critica/venezuelanos/2018/05_jun/html/1.230475_877.html", "HTML")</f>
        <v/>
      </c>
      <c r="L2125">
        <f>HYPERLINK("https://raw.githubusercontent.com/marcosmapl/dataset_imigrantes/main/noticias_filtered/a_critica/venezuelanos/2018/05_jun/txt/1.230475_877.txt", "TXT")</f>
        <v/>
      </c>
    </row>
    <row r="2126">
      <c r="A2126" s="1" t="n">
        <v>2124</v>
      </c>
      <c r="B2126" t="n">
        <v>2018</v>
      </c>
      <c r="C2126" s="2" t="n">
        <v>43279.375</v>
      </c>
      <c r="D2126" t="inlineStr">
        <is>
          <t>A CRITICA</t>
        </is>
      </c>
      <c r="E2126" t="inlineStr">
        <is>
          <t>VENEZUELANOS</t>
        </is>
      </c>
      <c r="F2126" t="inlineStr"/>
      <c r="G2126" t="inlineStr"/>
      <c r="H2126" t="inlineStr">
        <is>
          <t>FATOR ‘BETINHA’ COMPROMETE ATÉ DIPLOMACIA</t>
        </is>
      </c>
      <c r="I2126" t="inlineStr"/>
      <c r="J2126">
        <f>HYPERLINK("https://www.acritica.com/fator-betinha-compromete-ate-diplomacia-1.230481", "URL")</f>
        <v/>
      </c>
      <c r="K2126">
        <f>HYPERLINK("https://raw.githubusercontent.com/marcosmapl/dataset_imigrantes/main/noticias_filtered/a_critica/venezuelanos/2018/05_jun/html/1.230481_685.html", "HTML")</f>
        <v/>
      </c>
      <c r="L2126">
        <f>HYPERLINK("https://raw.githubusercontent.com/marcosmapl/dataset_imigrantes/main/noticias_filtered/a_critica/venezuelanos/2018/05_jun/txt/1.230481_685.txt", "TXT")</f>
        <v/>
      </c>
    </row>
    <row r="2127">
      <c r="A2127" s="1" t="n">
        <v>2125</v>
      </c>
      <c r="B2127" t="n">
        <v>2018</v>
      </c>
      <c r="C2127" s="2" t="n">
        <v>43278.84791666667</v>
      </c>
      <c r="D2127" t="inlineStr">
        <is>
          <t>PORTAL AMAZONIA</t>
        </is>
      </c>
      <c r="E2127" t="inlineStr">
        <is>
          <t>VENEZUELANOS</t>
        </is>
      </c>
      <c r="F2127" t="inlineStr">
        <is>
          <t>CIDADES</t>
        </is>
      </c>
      <c r="G2127" t="inlineStr">
        <is>
          <t>REDAÇÃO</t>
        </is>
      </c>
      <c r="H2127" t="inlineStr">
        <is>
          <t>EM MANAUS, VICE-PRESIDENTE DOS EUA CRITICA MADURO E DEFENDE LIBERDADE</t>
        </is>
      </c>
      <c r="I2127" t="inlineStr">
        <is>
          <t>DURANTE VISITA A MANAUS PARA FORTALECER OS LAÇOS COM OS PAÍSES QUE ENFRENTAM UM NÚMERO CRESCENTE DE REFUGIADOS QUE FOGEM DA CRISE NA VENEZUELA, NA MANHÃ DESTA QUARTA-FEIRA (27), O VICE-PRESIDENTE DOS ESTADOS UNIDOS, MIKE PENCE, CRITICOU A CRISE NO</t>
        </is>
      </c>
      <c r="J2127">
        <f>HYPERLINK("https://portalamazonia.com/noticias/cidades/em-manaus-vice-presidente-dos-eua-critica-maduro-e-defende-liberdade", "URL")</f>
        <v/>
      </c>
      <c r="K2127">
        <f>HYPERLINK("https://raw.githubusercontent.com/marcosmapl/dataset_imigrantes/main/noticias_filtered/portal_amazonia/venezuelanos/2018/05_jun/html/14792.14792_1570.html", "HTML")</f>
        <v/>
      </c>
      <c r="L2127">
        <f>HYPERLINK("https://raw.githubusercontent.com/marcosmapl/dataset_imigrantes/main/noticias_filtered/portal_amazonia/venezuelanos/2018/05_jun/txt/14792.14792_1570.txt", "TXT")</f>
        <v/>
      </c>
    </row>
    <row r="2128">
      <c r="A2128" s="1" t="n">
        <v>2126</v>
      </c>
      <c r="B2128" t="n">
        <v>2018</v>
      </c>
      <c r="C2128" s="2" t="n">
        <v>43278.72777777778</v>
      </c>
      <c r="D2128" t="inlineStr">
        <is>
          <t>A CRITICA</t>
        </is>
      </c>
      <c r="E2128" t="inlineStr">
        <is>
          <t>VENEZUELANOS</t>
        </is>
      </c>
      <c r="F2128" t="inlineStr">
        <is>
          <t>MANAUS</t>
        </is>
      </c>
      <c r="G2128" t="inlineStr">
        <is>
          <t>ALIK MENEZES</t>
        </is>
      </c>
      <c r="H2128" t="inlineStr">
        <is>
          <t>VICE-PRESIDENTE DOS EUA SE SOLIDARIZA COM CRIANÇAS IMIGRANTES EM ABRIGO DE MANAUS</t>
        </is>
      </c>
      <c r="I2128" t="inlineStr">
        <is>
          <t>REPRESENTANTE DO GOVERNO NORTE-AMERICANO, CRITICADO PELA POLÍTICA DE “TOLERÂNCIA ZERO” DE IMIGRAÇÃO NA FRONTEIRA COM O MÉXICO, PROMETEU US$ 1 MILHÃO PARA VENEZUELANOS ACOLHIDOS NO BRASIL</t>
        </is>
      </c>
      <c r="J2128">
        <f>HYPERLINK("https://www.acritica.com/manaus/vice-presidente-dos-eua-se-solidariza-com-criancas-imigrantes-em-abrigo-de-manaus-1.189975", "URL")</f>
        <v/>
      </c>
      <c r="K2128">
        <f>HYPERLINK("https://raw.githubusercontent.com/marcosmapl/dataset_imigrantes/main/noticias_filtered/a_critica/venezuelanos/2018/05_jun/html/1.189975_19.html", "HTML")</f>
        <v/>
      </c>
      <c r="L2128">
        <f>HYPERLINK("https://raw.githubusercontent.com/marcosmapl/dataset_imigrantes/main/noticias_filtered/a_critica/venezuelanos/2018/05_jun/txt/1.189975_19.txt", "TXT")</f>
        <v/>
      </c>
    </row>
    <row r="2129">
      <c r="A2129" s="1" t="n">
        <v>2127</v>
      </c>
      <c r="B2129" t="n">
        <v>2018</v>
      </c>
      <c r="C2129" s="2" t="n">
        <v>43278.63958333333</v>
      </c>
      <c r="D2129" t="inlineStr">
        <is>
          <t>PORTAL AMAZONIA</t>
        </is>
      </c>
      <c r="E2129" t="inlineStr">
        <is>
          <t>VENEZUELANOS</t>
        </is>
      </c>
      <c r="F2129" t="inlineStr">
        <is>
          <t>CIDADES</t>
        </is>
      </c>
      <c r="G2129" t="inlineStr">
        <is>
          <t>REDAÇÃO</t>
        </is>
      </c>
      <c r="H2129" t="inlineStr">
        <is>
          <t>PENCE DESEMBARCA EM MANAUS E SEGUE PARA VISITA À ABRIGO DE IMIGRANTES VENEZUELANOS</t>
        </is>
      </c>
      <c r="I2129" t="inlineStr">
        <is>
          <t>DESEMBARCOU NA MANHÃ DESTA QUARTA-FEIRA (27) EM MANAUS, O VICE-PRESIDENTE DOS ESTADOS UNIDOS, MIKE PENCE E A SEGUNDA-DAMA, KAREN PENCE. NA AGENDA, PENCE E A ESPOSA FARÃO UMA VISITA AO ABRIGO DE IMIGRANTES VENEZUELANOS, ALÉM DE UM SOBREVOO PELO POLO I</t>
        </is>
      </c>
      <c r="J2129">
        <f>HYPERLINK("https://portalamazonia.com/noticias/cidades/pence-desembarca-em-manaus-e-segue-para-visita-a-abrigo-de-imigrantes-venezuelanos", "URL")</f>
        <v/>
      </c>
      <c r="K2129">
        <f>HYPERLINK("https://raw.githubusercontent.com/marcosmapl/dataset_imigrantes/main/noticias_filtered/portal_amazonia/venezuelanos/2018/05_jun/html/14787.14787_1610.html", "HTML")</f>
        <v/>
      </c>
      <c r="L2129">
        <f>HYPERLINK("https://raw.githubusercontent.com/marcosmapl/dataset_imigrantes/main/noticias_filtered/portal_amazonia/venezuelanos/2018/05_jun/txt/14787.14787_1610.txt", "TXT")</f>
        <v/>
      </c>
    </row>
    <row r="2130">
      <c r="A2130" s="1" t="n">
        <v>2128</v>
      </c>
      <c r="B2130" t="n">
        <v>2018</v>
      </c>
      <c r="C2130" s="2" t="n">
        <v>43278.61180555556</v>
      </c>
      <c r="D2130" t="inlineStr">
        <is>
          <t>A CRITICA</t>
        </is>
      </c>
      <c r="E2130" t="inlineStr">
        <is>
          <t>VENEZUELANOS</t>
        </is>
      </c>
      <c r="F2130" t="inlineStr">
        <is>
          <t>MANAUS</t>
        </is>
      </c>
      <c r="G2130" t="inlineStr">
        <is>
          <t>ACRÍTICA.COM</t>
        </is>
      </c>
      <c r="H2130" t="inlineStr">
        <is>
          <t>VICE-PRESIDENTE DOS EUA DESEMBARCA EM MANAUS PARA VISITAR ABRIGO DE VENEZUELANOS</t>
        </is>
      </c>
      <c r="I2130" t="inlineStr">
        <is>
          <t>MIKE PENCE CHEGOU AO AEROPORTO EDUARDO GOMES ÀS 10H25. UM ESQUEMA ESPECIAL DE SEGURANÇA FOI MONTADO PARA RECEBER O POLÍTICO NA CAPITAL AMAZONENSE</t>
        </is>
      </c>
      <c r="J2130">
        <f>HYPERLINK("https://www.acritica.com/manaus/vice-presidente-dos-eua-desembarca-em-manaus-para-visitar-abrigo-de-venezuelanos-1.189777", "URL")</f>
        <v/>
      </c>
      <c r="K2130">
        <f>HYPERLINK("https://raw.githubusercontent.com/marcosmapl/dataset_imigrantes/main/noticias_filtered/a_critica/venezuelanos/2018/05_jun/html/1.189777_976.html", "HTML")</f>
        <v/>
      </c>
      <c r="L2130">
        <f>HYPERLINK("https://raw.githubusercontent.com/marcosmapl/dataset_imigrantes/main/noticias_filtered/a_critica/venezuelanos/2018/05_jun/txt/1.189777_976.txt", "TXT")</f>
        <v/>
      </c>
    </row>
    <row r="2131">
      <c r="A2131" s="1" t="n">
        <v>2129</v>
      </c>
      <c r="B2131" t="n">
        <v>2018</v>
      </c>
      <c r="C2131" s="2" t="n">
        <v>43278.53888888889</v>
      </c>
      <c r="D2131" t="inlineStr">
        <is>
          <t>A CRITICA</t>
        </is>
      </c>
      <c r="E2131" t="inlineStr">
        <is>
          <t>VENEZUELANOS</t>
        </is>
      </c>
      <c r="F2131" t="inlineStr">
        <is>
          <t>MANAUS</t>
        </is>
      </c>
      <c r="G2131" t="inlineStr">
        <is>
          <t>ALIK MENEZES</t>
        </is>
      </c>
      <c r="H2131" t="inlineStr">
        <is>
          <t>VISITA DO VICE-PRESIDENTE DOS EUA A ABRIGO DE VENEZUELANOS EM MANAUS ALTERA O TRÂNSITO</t>
        </is>
      </c>
      <c r="I2131" t="inlineStr">
        <is>
          <t>ESQUEMA ESPECIAL DE SEGURANÇA FOI MONTADO PARA RECEBER MIKE PENCE. MUDANÇAS OCORREM DESDE AEROPORTO ATÉ ABRIGO NO BAIRRO PETRÓPOLIS, ZONA SUL</t>
        </is>
      </c>
      <c r="J2131">
        <f>HYPERLINK("https://www.acritica.com/manaus/visita-do-vice-presidente-dos-eua-a-abrigo-de-venezuelanos-em-manaus-altera-o-transito-1.189821", "URL")</f>
        <v/>
      </c>
      <c r="K2131">
        <f>HYPERLINK("https://raw.githubusercontent.com/marcosmapl/dataset_imigrantes/main/noticias_filtered/a_critica/venezuelanos/2018/05_jun/html/1.189821_1258.html", "HTML")</f>
        <v/>
      </c>
      <c r="L2131">
        <f>HYPERLINK("https://raw.githubusercontent.com/marcosmapl/dataset_imigrantes/main/noticias_filtered/a_critica/venezuelanos/2018/05_jun/txt/1.189821_1258.txt", "TXT")</f>
        <v/>
      </c>
    </row>
    <row r="2132">
      <c r="A2132" s="1" t="n">
        <v>2130</v>
      </c>
      <c r="B2132" t="n">
        <v>2018</v>
      </c>
      <c r="C2132" s="2" t="n">
        <v>43278.4875</v>
      </c>
      <c r="D2132" t="inlineStr">
        <is>
          <t>PORTAL AMAZONIA</t>
        </is>
      </c>
      <c r="E2132" t="inlineStr">
        <is>
          <t>VENEZUELANOS</t>
        </is>
      </c>
      <c r="F2132" t="inlineStr">
        <is>
          <t>CIDADES</t>
        </is>
      </c>
      <c r="G2132" t="inlineStr">
        <is>
          <t>REDAÇÃO</t>
        </is>
      </c>
      <c r="H2132" t="inlineStr">
        <is>
          <t>PENCE VISITA HOJE EM MANAUS ABRIGO DE VENEZUELANOS</t>
        </is>
      </c>
      <c r="I2132" t="inlineStr">
        <is>
          <t>O VICE-PRESIDENTE DOS ESTADOS UNIDOS, MIKE PENCE, CHEGA A MANAUS NA MANHÃ DESTA QUARTA-FEIRA (27) PARA ACOMPANHAR A SITUAÇÃO DOS IMIGRANTES VENEZUELANOS. O PRIMEIRO COMPROMISSO É A VISITA À CASA DE ACOLHIDA SANTA CATARINA – CENTRO HUMANITÁRIO ADMINIS</t>
        </is>
      </c>
      <c r="J2132">
        <f>HYPERLINK("https://portalamazonia.com/noticias/cidades/pence-visita-hoje-em-manaus-abrigo-de-venezuelanos", "URL")</f>
        <v/>
      </c>
      <c r="K2132">
        <f>HYPERLINK("https://raw.githubusercontent.com/marcosmapl/dataset_imigrantes/main/noticias_filtered/portal_amazonia/venezuelanos/2018/05_jun/html/14775.14775_1429.html", "HTML")</f>
        <v/>
      </c>
      <c r="L2132">
        <f>HYPERLINK("https://raw.githubusercontent.com/marcosmapl/dataset_imigrantes/main/noticias_filtered/portal_amazonia/venezuelanos/2018/05_jun/txt/14775.14775_1429.txt", "TXT")</f>
        <v/>
      </c>
    </row>
    <row r="2133">
      <c r="A2133" s="1" t="n">
        <v>2131</v>
      </c>
      <c r="B2133" t="n">
        <v>2018</v>
      </c>
      <c r="C2133" s="2" t="n">
        <v>43277.69097222222</v>
      </c>
      <c r="D2133" t="inlineStr">
        <is>
          <t>PORTAL AMAZONIA</t>
        </is>
      </c>
      <c r="E2133" t="inlineStr">
        <is>
          <t>VENEZUELANOS</t>
        </is>
      </c>
      <c r="F2133" t="inlineStr">
        <is>
          <t>CIDADES</t>
        </is>
      </c>
      <c r="G2133" t="inlineStr">
        <is>
          <t>REDAÇÃO</t>
        </is>
      </c>
      <c r="H2133" t="inlineStr">
        <is>
          <t>IMIGRAÇÃO VENEZUELANA É TEMA DE ENCONTRO DE PENCE E TEMER</t>
        </is>
      </c>
      <c r="I2133" t="inlineStr">
        <is>
          <t>FOTO:REPRODUÇÃO/AGÊNCIA BRASILEM RÁPIDA CONVERSA NESTA TERÇA-FEIRA (26), NO PALÁCIO DO PLANALTO, O PRESIDENTE MICHEL TEMER E O VICE-PRESIDENTE NORTE-AMERICANO, MIKE PENCE, FALARAM SOBRE OS LAÇOS ENTRE BRASIL E ESTADOS UNIDOS. AO SE CUMPRIMENTAREM, O</t>
        </is>
      </c>
      <c r="J2133">
        <f>HYPERLINK("https://portalamazonia.com/noticias/cidades/imigracao-venezuelana-e-tema-de-encontro-de-pence-e-temer", "URL")</f>
        <v/>
      </c>
      <c r="K2133">
        <f>HYPERLINK("https://raw.githubusercontent.com/marcosmapl/dataset_imigrantes/main/noticias_filtered/portal_amazonia/venezuelanos/2018/05_jun/html/14765.14765_1512.html", "HTML")</f>
        <v/>
      </c>
      <c r="L2133">
        <f>HYPERLINK("https://raw.githubusercontent.com/marcosmapl/dataset_imigrantes/main/noticias_filtered/portal_amazonia/venezuelanos/2018/05_jun/txt/14765.14765_1512.txt", "TXT")</f>
        <v/>
      </c>
    </row>
    <row r="2134">
      <c r="A2134" s="1" t="n">
        <v>2132</v>
      </c>
      <c r="B2134" t="n">
        <v>2018</v>
      </c>
      <c r="C2134" s="2" t="n">
        <v>43277.49583333333</v>
      </c>
      <c r="D2134" t="inlineStr">
        <is>
          <t>A CRITICA</t>
        </is>
      </c>
      <c r="E2134" t="inlineStr">
        <is>
          <t>VENEZUELANOS</t>
        </is>
      </c>
      <c r="F2134" t="inlineStr">
        <is>
          <t>MANAUS</t>
        </is>
      </c>
      <c r="G2134" t="inlineStr">
        <is>
          <t>BIANCA PAIVA - AGÊNCIA BRASIL</t>
        </is>
      </c>
      <c r="H2134" t="inlineStr">
        <is>
          <t>VICE-PRESIDENTE DOS EUA VISITARÁ ABRIGO DE VENEZUELANOS EM MANAUS</t>
        </is>
      </c>
      <c r="I2134" t="inlineStr">
        <is>
          <t>CERCA DE 200 VENEZUELANOS VIVEM ATUALMENTE EM DOIS ABRIGOS NA CAPITAL AMAZONENSE. UM DESSES ESPAÇOS, NO BAIRRO COROADO, CHEGOU A RECEBER 300 ESTRANGEIROS</t>
        </is>
      </c>
      <c r="J2134">
        <f>HYPERLINK("https://www.acritica.com/manaus/vice-presidente-dos-eua-visitara-abrigo-de-venezuelanos-em-manaus-1.189569", "URL")</f>
        <v/>
      </c>
      <c r="K2134">
        <f>HYPERLINK("https://raw.githubusercontent.com/marcosmapl/dataset_imigrantes/main/noticias_filtered/a_critica/venezuelanos/2018/05_jun/html/1.189569_518.html", "HTML")</f>
        <v/>
      </c>
      <c r="L2134">
        <f>HYPERLINK("https://raw.githubusercontent.com/marcosmapl/dataset_imigrantes/main/noticias_filtered/a_critica/venezuelanos/2018/05_jun/txt/1.189569_518.txt", "TXT")</f>
        <v/>
      </c>
    </row>
    <row r="2135">
      <c r="A2135" s="1" t="n">
        <v>2133</v>
      </c>
      <c r="B2135" t="n">
        <v>2018</v>
      </c>
      <c r="C2135" s="2" t="n">
        <v>43276.50572353009</v>
      </c>
      <c r="D2135" t="inlineStr">
        <is>
          <t>G1</t>
        </is>
      </c>
      <c r="E2135" t="inlineStr">
        <is>
          <t>VENEZUELANOS</t>
        </is>
      </c>
      <c r="F2135" t="inlineStr">
        <is>
          <t>MUNDO</t>
        </is>
      </c>
      <c r="G2135" t="inlineStr">
        <is>
          <t>G1</t>
        </is>
      </c>
      <c r="H2135" t="inlineStr">
        <is>
          <t>UNIÃO EUROPEIA ANUNCIA NOVAS SANÇÕES CONTRA 11 AUTORIDADES VENEZUELANAS, ENTRE ELAS A VICE DELCY RODRÍGUEZ</t>
        </is>
      </c>
      <c r="I2135" t="inlineStr">
        <is>
          <t>SANÇÕES SÃO APLICADAS EM PROTESTO À REELEIÇÃO DO PRESIDENTE NICOLÁS MADURO, EM MAIO.</t>
        </is>
      </c>
      <c r="J2135">
        <f>HYPERLINK("https://g1.globo.com/mundo/noticia/uniao-europeia-anuncia-novas-sancoes-contra-11-autoridades-venezuelanas.ghtml", "URL")</f>
        <v/>
      </c>
      <c r="K2135">
        <f>HYPERLINK("https://raw.githubusercontent.com/marcosmapl/dataset_imigrantes/main/noticias_filtered/g1/venezuelanos/2018/05_jun/html/g1_04c33be6-2309-11ed-b24f-6dbe51e79fca_2420.html", "HTML")</f>
        <v/>
      </c>
      <c r="L2135">
        <f>HYPERLINK("https://raw.githubusercontent.com/marcosmapl/dataset_imigrantes/main/noticias_filtered/g1/venezuelanos/2018/05_jun/txt/g1_04c33be6-2309-11ed-b24f-6dbe51e79fca_2420.txt", "TXT")</f>
        <v/>
      </c>
    </row>
    <row r="2136">
      <c r="A2136" s="1" t="n">
        <v>2134</v>
      </c>
      <c r="B2136" t="n">
        <v>2018</v>
      </c>
      <c r="C2136" s="2" t="n">
        <v>43275.91459340278</v>
      </c>
      <c r="D2136" t="inlineStr">
        <is>
          <t>G1</t>
        </is>
      </c>
      <c r="E2136" t="inlineStr">
        <is>
          <t>VENEZUELANOS</t>
        </is>
      </c>
      <c r="F2136" t="inlineStr">
        <is>
          <t>RORAIMA</t>
        </is>
      </c>
      <c r="G2136" t="inlineStr">
        <is>
          <t>G1 RR — BOA VISTA</t>
        </is>
      </c>
      <c r="H2136" t="inlineStr">
        <is>
          <t>DUPLA SUSPEITA DE ASSALTAR VENEZUELANA É DETIDA COM REVÓLVER EM BOA VISTA</t>
        </is>
      </c>
      <c r="I2136" t="inlineStr">
        <is>
          <t>JOVEM E MENOR ESTAVAM EM MOTO QUANDO FORAM ABORDADOS POR POLICIAIS DO GIRO. DA VÍTIMA ELES ROUBARAM UM CELULAR.</t>
        </is>
      </c>
      <c r="J2136">
        <f>HYPERLINK("https://g1.globo.com/rr/roraima/noticia/dupla-suspeita-de-assaltar-venezuelana-e-detida-com-revolver-em-boa-vista.ghtml", "URL")</f>
        <v/>
      </c>
      <c r="K2136">
        <f>HYPERLINK("https://raw.githubusercontent.com/marcosmapl/dataset_imigrantes/main/noticias_filtered/g1/venezuelanos/2018/05_jun/html/g1_c388b852-230f-11ed-b24f-6dbe51e79fca_2817.html", "HTML")</f>
        <v/>
      </c>
      <c r="L2136">
        <f>HYPERLINK("https://raw.githubusercontent.com/marcosmapl/dataset_imigrantes/main/noticias_filtered/g1/venezuelanos/2018/05_jun/txt/g1_c388b852-230f-11ed-b24f-6dbe51e79fca_2817.txt", "TXT")</f>
        <v/>
      </c>
    </row>
    <row r="2137">
      <c r="A2137" s="1" t="n">
        <v>2135</v>
      </c>
      <c r="B2137" t="n">
        <v>2018</v>
      </c>
      <c r="C2137" s="2" t="n">
        <v>43273.81819606481</v>
      </c>
      <c r="D2137" t="inlineStr">
        <is>
          <t>G1</t>
        </is>
      </c>
      <c r="E2137" t="inlineStr">
        <is>
          <t>HAITIANOS</t>
        </is>
      </c>
      <c r="F2137" t="inlineStr">
        <is>
          <t>MATO GROSSO</t>
        </is>
      </c>
      <c r="G2137" t="inlineStr">
        <is>
          <t>G1 MT</t>
        </is>
      </c>
      <c r="H2137" t="inlineStr">
        <is>
          <t>HAITIANOS SE CASAM EM CERIMÔNIA COMUNITÁRIA EM CUIABÁ DEPOIS DE 4 ANOS DE NAMORO À DISTÂNCIA</t>
        </is>
      </c>
      <c r="I2137" t="inlineStr">
        <is>
          <t>JOB SEJOUR, DE 26 ANOS, SE MUDOU PARA O BRASIL EM 2013 EM BUSCA DE TRABALHO E A NAMORADA ESCLALINEDA PIERRE, DE 23, CHEGOU EM AGOSTO DE 2017. ELA ESTÁ GRÁVIDA DE SETE MESES.</t>
        </is>
      </c>
      <c r="J2137">
        <f>HYPERLINK("https://g1.globo.com/mt/mato-grosso/noticia/haitianos-se-casam-em-cerimonia-comunitaria-em-cuiaba-depois-de-4-anos-de-namoro-a-distancia.ghtml", "URL")</f>
        <v/>
      </c>
      <c r="K2137">
        <f>HYPERLINK("https://raw.githubusercontent.com/marcosmapl/dataset_imigrantes/main/noticias_filtered/g1/haitianos/2018/05_jun/html/g1_f65f4d54-22f1-11ed-b24f-6dbe51e79fca_1773.html", "HTML")</f>
        <v/>
      </c>
      <c r="L2137">
        <f>HYPERLINK("https://raw.githubusercontent.com/marcosmapl/dataset_imigrantes/main/noticias_filtered/g1/haitianos/2018/05_jun/txt/g1_f65f4d54-22f1-11ed-b24f-6dbe51e79fca_1773.txt", "TXT")</f>
        <v/>
      </c>
    </row>
    <row r="2138">
      <c r="A2138" s="1" t="n">
        <v>2136</v>
      </c>
      <c r="B2138" t="n">
        <v>2018</v>
      </c>
      <c r="C2138" s="2" t="n">
        <v>43272.84375</v>
      </c>
      <c r="D2138" t="inlineStr">
        <is>
          <t>PORTAL AMAZONIA</t>
        </is>
      </c>
      <c r="E2138" t="inlineStr">
        <is>
          <t>VENEZUELANOS</t>
        </is>
      </c>
      <c r="F2138" t="inlineStr">
        <is>
          <t>CIDADES</t>
        </is>
      </c>
      <c r="G2138" t="inlineStr">
        <is>
          <t>REDAÇÃO</t>
        </is>
      </c>
      <c r="H2138" t="inlineStr">
        <is>
          <t>EM BOA VISTA, TEMER SANCIONA LEI COM AÇÕES EMERGENCIAIS PARA IMIGRANTES</t>
        </is>
      </c>
      <c r="I2138" t="inlineStr">
        <is>
          <t>FOTO:DIVULGAÇÃO/PALÁCIO DO PLANALTOFOI SANCIONADA NESTA QUINTA-FEIRA (21) PELO PRESIDENTE MICHEL TEMER (MDB) A LEI QUE DEFINE AÇÕES DE ASSISTÊNCIA EMERGENCIAL A IMIGRANTES. A ASSINATURA ACONTECEU DURANTE VISITA PRESIDENC</t>
        </is>
      </c>
      <c r="J2138">
        <f>HYPERLINK("https://portalamazonia.com/noticias/cidades/em-boa-vista-temer-sanciona-lei-com-acoes-emergenciais-para-imigrantes", "URL")</f>
        <v/>
      </c>
      <c r="K2138">
        <f>HYPERLINK("https://raw.githubusercontent.com/marcosmapl/dataset_imigrantes/main/noticias_filtered/portal_amazonia/venezuelanos/2018/05_jun/html/14698.14698_1447.html", "HTML")</f>
        <v/>
      </c>
      <c r="L2138">
        <f>HYPERLINK("https://raw.githubusercontent.com/marcosmapl/dataset_imigrantes/main/noticias_filtered/portal_amazonia/venezuelanos/2018/05_jun/txt/14698.14698_1447.txt", "TXT")</f>
        <v/>
      </c>
    </row>
    <row r="2139">
      <c r="A2139" s="1" t="n">
        <v>2137</v>
      </c>
      <c r="B2139" t="n">
        <v>2018</v>
      </c>
      <c r="C2139" s="2" t="n">
        <v>43272.64166666667</v>
      </c>
      <c r="D2139" t="inlineStr">
        <is>
          <t>PORTAL AMAZONIA</t>
        </is>
      </c>
      <c r="E2139" t="inlineStr">
        <is>
          <t>VENEZUELANOS</t>
        </is>
      </c>
      <c r="F2139" t="inlineStr">
        <is>
          <t>CIDADES</t>
        </is>
      </c>
      <c r="G2139" t="inlineStr">
        <is>
          <t>REDAÇÃO</t>
        </is>
      </c>
      <c r="H2139" t="inlineStr">
        <is>
          <t>MICHEL TEMER DESEMBARCA EM RORAIMA E VISITA ABRIGOS A VENEZUELANOS</t>
        </is>
      </c>
      <c r="I2139" t="inlineStr">
        <is>
          <t>O PRESIDENTE MICHEL TEMER (MDB) JÁ ESTÁ EM RORAIMA, ONDE VAI CONHECER AS AÇÕES DA OPERAÇÃO ACOLHIDA, QUE OFERECE ATENDIMENTO A IMIGRANTES VENEZUELANOS QUE CHEGAM DIARIAMENTE AO ESTADO. DE ACORDO COM REPORTAGEM PUBLICADA PELO G1 RORAIMA, TEMER DESEMBA</t>
        </is>
      </c>
      <c r="J2139">
        <f>HYPERLINK("https://portalamazonia.com/noticias/cidades/michel-temer-desembarca-em-roraima-e-visita-abrigos-a-venezuelanos", "URL")</f>
        <v/>
      </c>
      <c r="K2139">
        <f>HYPERLINK("https://raw.githubusercontent.com/marcosmapl/dataset_imigrantes/main/noticias_filtered/portal_amazonia/venezuelanos/2018/05_jun/html/14692.14692_1511.html", "HTML")</f>
        <v/>
      </c>
      <c r="L2139">
        <f>HYPERLINK("https://raw.githubusercontent.com/marcosmapl/dataset_imigrantes/main/noticias_filtered/portal_amazonia/venezuelanos/2018/05_jun/txt/14692.14692_1511.txt", "TXT")</f>
        <v/>
      </c>
    </row>
    <row r="2140">
      <c r="A2140" s="1" t="n">
        <v>2138</v>
      </c>
      <c r="B2140" t="n">
        <v>2018</v>
      </c>
      <c r="C2140" s="2" t="n">
        <v>43272.53125</v>
      </c>
      <c r="D2140" t="inlineStr">
        <is>
          <t>PORTAL AMAZONIA</t>
        </is>
      </c>
      <c r="E2140" t="inlineStr">
        <is>
          <t>VENEZUELANOS</t>
        </is>
      </c>
      <c r="F2140" t="inlineStr">
        <is>
          <t>CIDADES</t>
        </is>
      </c>
      <c r="G2140" t="inlineStr">
        <is>
          <t>REDAÇÃO</t>
        </is>
      </c>
      <c r="H2140" t="inlineStr">
        <is>
          <t>TEMER VISITA EM RORAIMA ABRIGOS DE IMIGRANTES VENEZUELANOS</t>
        </is>
      </c>
      <c r="I2140" t="inlineStr">
        <is>
          <t>O PRESIDENTE MICHEL TEMER VIAJA NESTA QUINTA-FEIRA (21) PARA RORAIMA, ONDE VISITARÁ AS INSTALAÇÕES DE ACOLHIMENTO DOS IMIGRANTES VENEZUELANOS QUE CHEGAM AO BRASIL PELA FRONTEIRA COM O ESTADO. AS VISITAS A PACARAIMA E À CAPITAL, BOA VISTA, OCORREM QUA</t>
        </is>
      </c>
      <c r="J2140">
        <f>HYPERLINK("https://portalamazonia.com/noticias/cidades/temer-visita-em-roraima-abrigos-de-imigrantes-venezuelanos", "URL")</f>
        <v/>
      </c>
      <c r="K2140">
        <f>HYPERLINK("https://raw.githubusercontent.com/marcosmapl/dataset_imigrantes/main/noticias_filtered/portal_amazonia/venezuelanos/2018/05_jun/html/14689.14689_1482.html", "HTML")</f>
        <v/>
      </c>
      <c r="L2140">
        <f>HYPERLINK("https://raw.githubusercontent.com/marcosmapl/dataset_imigrantes/main/noticias_filtered/portal_amazonia/venezuelanos/2018/05_jun/txt/14689.14689_1482.txt", "TXT")</f>
        <v/>
      </c>
    </row>
    <row r="2141">
      <c r="A2141" s="1" t="n">
        <v>2139</v>
      </c>
      <c r="B2141" t="n">
        <v>2018</v>
      </c>
      <c r="C2141" s="2" t="n">
        <v>43272.375</v>
      </c>
      <c r="D2141" t="inlineStr">
        <is>
          <t>A CRITICA</t>
        </is>
      </c>
      <c r="E2141" t="inlineStr">
        <is>
          <t>VENEZUELANOS</t>
        </is>
      </c>
      <c r="F2141" t="inlineStr">
        <is>
          <t>MANAUS</t>
        </is>
      </c>
      <c r="G2141" t="inlineStr">
        <is>
          <t>ACRÍTICA.COM</t>
        </is>
      </c>
      <c r="H2141" t="inlineStr">
        <is>
          <t>VACINAÇÃO É A MELHOR FORMA DE PREVENIR DOENÇAS QUE JÁ TINHAM SIDO ERRADICADAS</t>
        </is>
      </c>
      <c r="I2141" t="inlineStr">
        <is>
          <t>APÓS SURTO DE SARAMPO E ALERTA DE RISCO DE POLIOMIELITE, SUSAM REFORÇA IMPORTÂNCIA DA IMUNIZAÇÃO, QUE TEVE QUEDA DE COBERTURA APÓS AS ERRADICAÇÕES</t>
        </is>
      </c>
      <c r="J2141">
        <f>HYPERLINK("https://www.acritica.com/manaus/vacinac-o-e-a-melhor-forma-de-prevenir-doencas-que-ja-tinham-sido-erradicadas-1.189039", "URL")</f>
        <v/>
      </c>
      <c r="K2141">
        <f>HYPERLINK("https://raw.githubusercontent.com/marcosmapl/dataset_imigrantes/main/noticias_filtered/a_critica/venezuelanos/2018/05_jun/html/1.189039_773.html", "HTML")</f>
        <v/>
      </c>
      <c r="L2141">
        <f>HYPERLINK("https://raw.githubusercontent.com/marcosmapl/dataset_imigrantes/main/noticias_filtered/a_critica/venezuelanos/2018/05_jun/txt/1.189039_773.txt", "TXT")</f>
        <v/>
      </c>
    </row>
    <row r="2142">
      <c r="A2142" s="1" t="n">
        <v>2140</v>
      </c>
      <c r="B2142" t="n">
        <v>2018</v>
      </c>
      <c r="C2142" s="2" t="n">
        <v>43271.73729997685</v>
      </c>
      <c r="D2142" t="inlineStr">
        <is>
          <t>G1</t>
        </is>
      </c>
      <c r="E2142" t="inlineStr">
        <is>
          <t>HAITIANOS</t>
        </is>
      </c>
      <c r="F2142" t="inlineStr">
        <is>
          <t>CORUMBÁ E REGIÃO</t>
        </is>
      </c>
      <c r="G2142" t="inlineStr">
        <is>
          <t>TV MORENA</t>
        </is>
      </c>
      <c r="H2142" t="inlineStr">
        <is>
          <t>SITUAÇÃO DOS HAITIANOS EM MUNICÍPIO DE MS PREOCUPA DEFENSORIA PÚBLICA DA UNIÃO</t>
        </is>
      </c>
      <c r="I2142" t="inlineStr">
        <is>
          <t>SEGUNDO A PASTORAL DA MOBILIDADE HUMANA, PELO MENOS 200 IMIGRANTES HAITIANOS PASSARAM PELA CIDADE. HÁ 7 DIAS, ELES DORMEM EM LOCAL IMPROVISADO.</t>
        </is>
      </c>
      <c r="J2142">
        <f>HYPERLINK("https://g1.globo.com/ms/corumba-e-regiao/noticia/situacao-dos-haitianos-em-municipio-de-ms-preocupa-defensoria-publica-da-uniao.ghtml", "URL")</f>
        <v/>
      </c>
      <c r="K2142">
        <f>HYPERLINK("https://raw.githubusercontent.com/marcosmapl/dataset_imigrantes/main/noticias_filtered/g1/haitianos/2018/05_jun/html/g1_006e0032-22f8-11ed-b24f-6dbe51e79fca_2111.html", "HTML")</f>
        <v/>
      </c>
      <c r="L2142">
        <f>HYPERLINK("https://raw.githubusercontent.com/marcosmapl/dataset_imigrantes/main/noticias_filtered/g1/haitianos/2018/05_jun/txt/g1_006e0032-22f8-11ed-b24f-6dbe51e79fca_2111.txt", "TXT")</f>
        <v/>
      </c>
    </row>
    <row r="2143">
      <c r="A2143" s="1" t="n">
        <v>2141</v>
      </c>
      <c r="B2143" t="n">
        <v>2018</v>
      </c>
      <c r="C2143" s="2" t="n">
        <v>43271.27986111111</v>
      </c>
      <c r="D2143" t="inlineStr">
        <is>
          <t>A CRITICA</t>
        </is>
      </c>
      <c r="E2143" t="inlineStr">
        <is>
          <t>VENEZUELANOS</t>
        </is>
      </c>
      <c r="F2143" t="inlineStr"/>
      <c r="G2143" t="inlineStr"/>
      <c r="H2143" t="inlineStr">
        <is>
          <t>EQUIPE JÁ PREPARA VISITA DE PENCE</t>
        </is>
      </c>
      <c r="I2143" t="inlineStr"/>
      <c r="J2143">
        <f>HYPERLINK("https://www.acritica.com/equipe-ja-prepara-visita-de-pence-1.230293", "URL")</f>
        <v/>
      </c>
      <c r="K2143">
        <f>HYPERLINK("https://raw.githubusercontent.com/marcosmapl/dataset_imigrantes/main/noticias_filtered/a_critica/venezuelanos/2018/05_jun/html/1.230293_12.html", "HTML")</f>
        <v/>
      </c>
      <c r="L2143">
        <f>HYPERLINK("https://raw.githubusercontent.com/marcosmapl/dataset_imigrantes/main/noticias_filtered/a_critica/venezuelanos/2018/05_jun/txt/1.230293_12.txt", "TXT")</f>
        <v/>
      </c>
    </row>
    <row r="2144">
      <c r="A2144" s="1" t="n">
        <v>2142</v>
      </c>
      <c r="B2144" t="n">
        <v>2018</v>
      </c>
      <c r="C2144" s="2" t="n">
        <v>43270.84305555555</v>
      </c>
      <c r="D2144" t="inlineStr">
        <is>
          <t>A CRITICA</t>
        </is>
      </c>
      <c r="E2144" t="inlineStr">
        <is>
          <t>AMBOS</t>
        </is>
      </c>
      <c r="F2144" t="inlineStr"/>
      <c r="G2144" t="inlineStr">
        <is>
          <t>SILANE SOUZA</t>
        </is>
      </c>
      <c r="H2144" t="inlineStr">
        <is>
          <t>SEMANA DO MIGRANTE TEM PROGRAMAÇÃO ATÉ O PRÓXIMO DOMINGO (24) EM MANAUS</t>
        </is>
      </c>
      <c r="I2144" t="inlineStr">
        <is>
          <t>PROPONDO A INTEGRAÇÃO DE IMIGRANTES E REFUGIADOS, 33ª EDIÇÃO DA SEMANA CONTA COM MISSAS, DEBATES, RODA DE CONVERSAS, APRESENTAÇÃO DE FILMES, CURTA-METRAGEM E CELEBRAÇÕES INTERCULTURAIS</t>
        </is>
      </c>
      <c r="J2144">
        <f>HYPERLINK("https://www.acritica.com/semana-do-migrante-tem-programac-o-ate-o-proximo-domingo-24-em-manaus-1.88465", "URL")</f>
        <v/>
      </c>
      <c r="K2144">
        <f>HYPERLINK("https://raw.githubusercontent.com/marcosmapl/dataset_imigrantes/main/noticias_filtered/a_critica/ambos/2018/05_jun/html/1.88465_1319.html", "HTML")</f>
        <v/>
      </c>
      <c r="L2144">
        <f>HYPERLINK("https://raw.githubusercontent.com/marcosmapl/dataset_imigrantes/main/noticias_filtered/a_critica/ambos/2018/05_jun/txt/1.88465_1319.txt", "TXT")</f>
        <v/>
      </c>
    </row>
    <row r="2145">
      <c r="A2145" s="1" t="n">
        <v>2143</v>
      </c>
      <c r="B2145" t="n">
        <v>2018</v>
      </c>
      <c r="C2145" s="2" t="n">
        <v>43270.81179398148</v>
      </c>
      <c r="D2145" t="inlineStr">
        <is>
          <t>A CRITICA</t>
        </is>
      </c>
      <c r="E2145" t="inlineStr">
        <is>
          <t>HAITIANOS</t>
        </is>
      </c>
      <c r="F2145" t="inlineStr">
        <is>
          <t>MANAUS</t>
        </is>
      </c>
      <c r="G2145" t="inlineStr">
        <is>
          <t>ACRÍTICA.COM</t>
        </is>
      </c>
      <c r="H2145" t="inlineStr">
        <is>
          <t>ESTUDANTES DA UNINORTE PROMOVEM MUTIRÃO SOLIDÁRIO EM 14 INSTITUIÇÕES FILANTRÓPICAS</t>
        </is>
      </c>
      <c r="I2145" t="inlineStr">
        <is>
          <t>OS UNIVERSITÁRIOS FIZERAM A PINTURA E ORGANIZAÇÃO DE ESPAÇOS, MONTARAM BRINQUEDOTECA E BIBLIOTECA INFANTIL, CRIARAM HORTA SUSTENTÁVEL, ENTRE OUTROS</t>
        </is>
      </c>
      <c r="J2145">
        <f>HYPERLINK("https://www.acritica.com/manaus/estudantes-da-uninorte-promovem-mutir-o-solidario-em-14-instituic-es-filantropicas-1.188856", "URL")</f>
        <v/>
      </c>
      <c r="K2145">
        <f>HYPERLINK("https://raw.githubusercontent.com/marcosmapl/dataset_imigrantes/main/noticias_filtered/a_critica/haitianos/2018/05_jun/html/1.188856_97.html", "HTML")</f>
        <v/>
      </c>
      <c r="L2145">
        <f>HYPERLINK("https://raw.githubusercontent.com/marcosmapl/dataset_imigrantes/main/noticias_filtered/a_critica/haitianos/2018/05_jun/txt/1.188856_97.txt", "TXT")</f>
        <v/>
      </c>
    </row>
    <row r="2146">
      <c r="A2146" s="1" t="n">
        <v>2144</v>
      </c>
      <c r="B2146" t="n">
        <v>2018</v>
      </c>
      <c r="C2146" s="2" t="n">
        <v>43270.50416666667</v>
      </c>
      <c r="D2146" t="inlineStr">
        <is>
          <t>PORTAL AMAZONIA</t>
        </is>
      </c>
      <c r="E2146" t="inlineStr">
        <is>
          <t>VENEZUELANOS</t>
        </is>
      </c>
      <c r="F2146" t="inlineStr">
        <is>
          <t>CIDADES</t>
        </is>
      </c>
      <c r="G2146" t="inlineStr">
        <is>
          <t>REDAÇÃO</t>
        </is>
      </c>
      <c r="H2146" t="inlineStr">
        <is>
          <t>TEMER VAI A RORAIMA PARA VERIFICAR AÇÕES DE ACOLHIMENTO A VENEZUELANOS</t>
        </is>
      </c>
      <c r="I2146" t="inlineStr">
        <is>
          <t>O PRESIDENTE MICHEL TEMER VIAJA NA PRÓXIMA QUINTA-FEIRA (21) PARA BOA VISTA E PACARAIMA, EM RORAIMA, PARA ACOMPANHAR AS AÇÕES DE ACOLHIMENTO AOS IMIGRANTES VENEZUELANOS. ELE DEVERÁ IR A UM LOCAL DE TRIAGEM, A UM ABRIGO E A BATALHÕES DO EXÉRCITO. A PR</t>
        </is>
      </c>
      <c r="J2146">
        <f>HYPERLINK("https://portalamazonia.com/noticias/cidades/temer-vai-a-roraima-para-verificar-acoes-de-acolhimento-a-venezuelanos", "URL")</f>
        <v/>
      </c>
      <c r="K2146">
        <f>HYPERLINK("https://raw.githubusercontent.com/marcosmapl/dataset_imigrantes/main/noticias_filtered/portal_amazonia/venezuelanos/2018/05_jun/html/14639.14639_1403.html", "HTML")</f>
        <v/>
      </c>
      <c r="L2146">
        <f>HYPERLINK("https://raw.githubusercontent.com/marcosmapl/dataset_imigrantes/main/noticias_filtered/portal_amazonia/venezuelanos/2018/05_jun/txt/14639.14639_1403.txt", "TXT")</f>
        <v/>
      </c>
    </row>
    <row r="2147">
      <c r="A2147" s="1" t="n">
        <v>2145</v>
      </c>
      <c r="B2147" t="n">
        <v>2018</v>
      </c>
      <c r="C2147" s="2" t="n">
        <v>43267.6819950463</v>
      </c>
      <c r="D2147" t="inlineStr">
        <is>
          <t>G1</t>
        </is>
      </c>
      <c r="E2147" t="inlineStr">
        <is>
          <t>VENEZUELANOS</t>
        </is>
      </c>
      <c r="F2147" t="inlineStr">
        <is>
          <t>RORAIMA</t>
        </is>
      </c>
      <c r="G2147" t="inlineStr">
        <is>
          <t>G1 RR</t>
        </is>
      </c>
      <c r="H2147" t="inlineStr">
        <is>
          <t>VOCÊ VIU? BIODIESEL COM TUCUMÃ DO IFRR, VENEZUELANO EVITA ASSALTO, BEBÊ MORRE EM REDE E MAIS</t>
        </is>
      </c>
      <c r="I2147" t="inlineStr">
        <is>
          <t>VEJA AS PRINCIPAIS REPORTAGENS PUBLICADAS PELO G1 RORAIMA ENTRE OS DIAS 9 A 15 DE JUNHO.</t>
        </is>
      </c>
      <c r="J2147">
        <f>HYPERLINK("https://g1.globo.com/rr/roraima/noticia/voce-viu-biodiesel-com-tucuma-do-ifrr-venezuelano-evita-assalto-bebe-morre-em-rede-e-mais.ghtml", "URL")</f>
        <v/>
      </c>
      <c r="K2147">
        <f>HYPERLINK("https://raw.githubusercontent.com/marcosmapl/dataset_imigrantes/main/noticias_filtered/g1/venezuelanos/2018/05_jun/html/g1_f13e7518-231c-11ed-b24f-6dbe51e79fca_3475.html", "HTML")</f>
        <v/>
      </c>
      <c r="L2147">
        <f>HYPERLINK("https://raw.githubusercontent.com/marcosmapl/dataset_imigrantes/main/noticias_filtered/g1/venezuelanos/2018/05_jun/txt/g1_f13e7518-231c-11ed-b24f-6dbe51e79fca_3475.txt", "TXT")</f>
        <v/>
      </c>
    </row>
    <row r="2148">
      <c r="A2148" s="1" t="n">
        <v>2146</v>
      </c>
      <c r="B2148" t="n">
        <v>2018</v>
      </c>
      <c r="C2148" s="2" t="n">
        <v>43266.375</v>
      </c>
      <c r="D2148" t="inlineStr">
        <is>
          <t>A CRITICA</t>
        </is>
      </c>
      <c r="E2148" t="inlineStr">
        <is>
          <t>VENEZUELANOS</t>
        </is>
      </c>
      <c r="F2148" t="inlineStr">
        <is>
          <t>MANAUS</t>
        </is>
      </c>
      <c r="G2148" t="inlineStr">
        <is>
          <t>PAULO ANDRÉ NUNES</t>
        </is>
      </c>
      <c r="H2148" t="inlineStr">
        <is>
          <t>VACINAÇÃO CONTRA A POLIOMIELITE É ANTECIPADA NO AMAZONAS APÓS SURTO NA VENEZUELA</t>
        </is>
      </c>
      <c r="I2148" t="inlineStr">
        <is>
          <t>CAMPANHA DE IMUNIZAÇÃO ESTAVA MARCADA PARA AGOSTO, MAS VAI COMEÇAR EM JULHO. A POLIOMIELITE ESTÁ ERRADICADA EM TODO O BRASIL DESDE 1990</t>
        </is>
      </c>
      <c r="J2148">
        <f>HYPERLINK("https://www.acritica.com/manaus/vacinac-o-contra-a-poliomielite-e-antecipada-no-amazonas-apos-surto-na-venezuela-1.202241", "URL")</f>
        <v/>
      </c>
      <c r="K2148">
        <f>HYPERLINK("https://raw.githubusercontent.com/marcosmapl/dataset_imigrantes/main/noticias_filtered/a_critica/venezuelanos/2018/05_jun/html/1.202241_1112.html", "HTML")</f>
        <v/>
      </c>
      <c r="L2148">
        <f>HYPERLINK("https://raw.githubusercontent.com/marcosmapl/dataset_imigrantes/main/noticias_filtered/a_critica/venezuelanos/2018/05_jun/txt/1.202241_1112.txt", "TXT")</f>
        <v/>
      </c>
    </row>
    <row r="2149">
      <c r="A2149" s="1" t="n">
        <v>2147</v>
      </c>
      <c r="B2149" t="n">
        <v>2018</v>
      </c>
      <c r="C2149" s="2" t="n">
        <v>43264.92211081018</v>
      </c>
      <c r="D2149" t="inlineStr">
        <is>
          <t>G1</t>
        </is>
      </c>
      <c r="E2149" t="inlineStr">
        <is>
          <t>VENEZUELANOS</t>
        </is>
      </c>
      <c r="F2149" t="inlineStr">
        <is>
          <t>RORAIMA</t>
        </is>
      </c>
      <c r="G2149" t="inlineStr">
        <is>
          <t>VALÉRIA OLIVEIRA, G1 RR</t>
        </is>
      </c>
      <c r="H2149" t="inlineStr">
        <is>
          <t>VENEZUELANO ENFRENTA ASSALTANTE E EVITA ROUBO A LOJA DE CELULARES EM BOA VISTA</t>
        </is>
      </c>
      <c r="I2149" t="inlineStr">
        <is>
          <t>ESTRANGEIRO ESTAVA DO OUTRO LADO DA RUA QUANDO DUPLA DE ASSALTANTES CHEGOU NA LOJA. ELE ENFRENTOU O QUE FICOU DO LADO DE FORA E OS DOIS SUSPEITOS FUGIRAM SEM LEVAR NADA.</t>
        </is>
      </c>
      <c r="J2149">
        <f>HYPERLINK("https://g1.globo.com/rr/roraima/noticia/venezuelano-enfrenta-assaltante-e-evita-roubo-a-loja-de-celulares-em-boa-vista.ghtml", "URL")</f>
        <v/>
      </c>
      <c r="K2149">
        <f>HYPERLINK("https://raw.githubusercontent.com/marcosmapl/dataset_imigrantes/main/noticias_filtered/g1/venezuelanos/2018/05_jun/html/g1_7dc3f31a-2312-11ed-b24f-6dbe51e79fca_2969.html", "HTML")</f>
        <v/>
      </c>
      <c r="L2149">
        <f>HYPERLINK("https://raw.githubusercontent.com/marcosmapl/dataset_imigrantes/main/noticias_filtered/g1/venezuelanos/2018/05_jun/txt/g1_7dc3f31a-2312-11ed-b24f-6dbe51e79fca_2969.txt", "TXT")</f>
        <v/>
      </c>
    </row>
    <row r="2150">
      <c r="A2150" s="1" t="n">
        <v>2148</v>
      </c>
      <c r="B2150" t="n">
        <v>2018</v>
      </c>
      <c r="C2150" s="2" t="n">
        <v>43264.81732638889</v>
      </c>
      <c r="D2150" t="inlineStr">
        <is>
          <t>A CRITICA</t>
        </is>
      </c>
      <c r="E2150" t="inlineStr">
        <is>
          <t>VENEZUELANOS</t>
        </is>
      </c>
      <c r="F2150" t="inlineStr"/>
      <c r="G2150" t="inlineStr">
        <is>
          <t>ACRÍTICA.COM</t>
        </is>
      </c>
      <c r="H2150" t="inlineStr">
        <is>
          <t>SURTO DE PÓLIO NA VENEZUELA EXIGE ATENÇÃO NO BRASIL, ALERTA SOCIEDADE DE PEDIATRIA</t>
        </is>
      </c>
      <c r="I2150" t="inlineStr">
        <is>
          <t>PREOCUPAÇÃO CRESCE PELO AUMENTO DO FLUXO DE REFUGIADOS PELAS FRONTEIRAS BRASILEIRAS, EM ESPECIAL NOS ESTADOS DO NORTE. COMUNICADO FOI EMITIDO NESTA QUARTA-FEIRA (13)</t>
        </is>
      </c>
      <c r="J2150">
        <f>HYPERLINK("https://www.acritica.com/surto-de-polio-na-venezuela-exige-atenc-o-no-brasil-alerta-sociedade-de-pediatria-1.87574", "URL")</f>
        <v/>
      </c>
      <c r="K2150">
        <f>HYPERLINK("https://raw.githubusercontent.com/marcosmapl/dataset_imigrantes/main/noticias_filtered/a_critica/venezuelanos/2018/05_jun/html/1.87574_1.html", "HTML")</f>
        <v/>
      </c>
      <c r="L2150">
        <f>HYPERLINK("https://raw.githubusercontent.com/marcosmapl/dataset_imigrantes/main/noticias_filtered/a_critica/venezuelanos/2018/05_jun/txt/1.87574_1.txt", "TXT")</f>
        <v/>
      </c>
    </row>
    <row r="2151">
      <c r="A2151" s="1" t="n">
        <v>2149</v>
      </c>
      <c r="B2151" t="n">
        <v>2018</v>
      </c>
      <c r="C2151" s="2" t="n">
        <v>43264.49166666667</v>
      </c>
      <c r="D2151" t="inlineStr">
        <is>
          <t>PORTAL AMAZONIA</t>
        </is>
      </c>
      <c r="E2151" t="inlineStr">
        <is>
          <t>VENEZUELANOS</t>
        </is>
      </c>
      <c r="F2151" t="inlineStr">
        <is>
          <t>CIDADES</t>
        </is>
      </c>
      <c r="G2151" t="inlineStr">
        <is>
          <t>REDAÇÃO</t>
        </is>
      </c>
      <c r="H2151" t="inlineStr">
        <is>
          <t>SENADO APROVA MP COM AÇÕES EMERGENCIAIS PARA VENEZUELANOS EM RORAIMA</t>
        </is>
      </c>
      <c r="I2151" t="inlineStr">
        <is>
          <t>O SENADO APROVOU NESTA TERÇA-FEIRA (12) A MEDIDA PROVISÓRIA (MP) QUE TRATA DE AÇÕES EMERGENCIAIS DE ASSISTÊNCIA AOS VENEZUELANOS QUE TÊM MIGRADO PARA O BRASIL ATRAVÉS DE RORAIMA. COMO JÁ FOI APROVADO PELOS DEPUTADOS, O CHAMADO PROJETO DE LEI DE CONVE</t>
        </is>
      </c>
      <c r="J2151">
        <f>HYPERLINK("https://portalamazonia.com/noticias/cidades/senado-aprova-mp-com-acoes-emergenciais-para-venezuelanos-em-roraima", "URL")</f>
        <v/>
      </c>
      <c r="K2151">
        <f>HYPERLINK("https://raw.githubusercontent.com/marcosmapl/dataset_imigrantes/main/noticias_filtered/portal_amazonia/venezuelanos/2018/05_jun/html/14511.14511_1453.html", "HTML")</f>
        <v/>
      </c>
      <c r="L2151">
        <f>HYPERLINK("https://raw.githubusercontent.com/marcosmapl/dataset_imigrantes/main/noticias_filtered/portal_amazonia/venezuelanos/2018/05_jun/txt/14511.14511_1453.txt", "TXT")</f>
        <v/>
      </c>
    </row>
    <row r="2152">
      <c r="A2152" s="1" t="n">
        <v>2150</v>
      </c>
      <c r="B2152" t="n">
        <v>2018</v>
      </c>
      <c r="C2152" s="2" t="n">
        <v>43263.92872685185</v>
      </c>
      <c r="D2152" t="inlineStr">
        <is>
          <t>A CRITICA</t>
        </is>
      </c>
      <c r="E2152" t="inlineStr">
        <is>
          <t>VENEZUELANOS</t>
        </is>
      </c>
      <c r="F2152" t="inlineStr"/>
      <c r="G2152" t="inlineStr">
        <is>
          <t>PAULO VICTOR CHAGAS (AGÊNCIA BRASIL)</t>
        </is>
      </c>
      <c r="H2152" t="inlineStr">
        <is>
          <t>SENADO APROVA MP COM AÇÕES EMERGENCIAIS PARA VENEZUELANOS EM RORAIMA</t>
        </is>
      </c>
      <c r="I2152" t="inlineStr">
        <is>
          <t>ENTRE AS MEDIDAS ESTÃO A OFERTA DE ATIVIDADES EDUCACIONAIS, FORMAÇÃO E QUALIFICAÇÃO PROFISSIONAL E DE INFRAESTRUTURA E SANEAMENTO PARA AS FAMÍLIAS VENEZUELANAS</t>
        </is>
      </c>
      <c r="J2152">
        <f>HYPERLINK("https://www.acritica.com/senado-aprova-mp-com-ac-es-emergenciais-para-venezuelanos-em-roraima-1.202710", "URL")</f>
        <v/>
      </c>
      <c r="K2152">
        <f>HYPERLINK("https://raw.githubusercontent.com/marcosmapl/dataset_imigrantes/main/noticias_filtered/a_critica/venezuelanos/2018/05_jun/html/1.202710_737.html", "HTML")</f>
        <v/>
      </c>
      <c r="L2152">
        <f>HYPERLINK("https://raw.githubusercontent.com/marcosmapl/dataset_imigrantes/main/noticias_filtered/a_critica/venezuelanos/2018/05_jun/txt/1.202710_737.txt", "TXT")</f>
        <v/>
      </c>
    </row>
    <row r="2153">
      <c r="A2153" s="1" t="n">
        <v>2151</v>
      </c>
      <c r="B2153" t="n">
        <v>2018</v>
      </c>
      <c r="C2153" s="2" t="n">
        <v>43259.8976221875</v>
      </c>
      <c r="D2153" t="inlineStr">
        <is>
          <t>G1</t>
        </is>
      </c>
      <c r="E2153" t="inlineStr">
        <is>
          <t>VENEZUELANOS</t>
        </is>
      </c>
      <c r="F2153" t="inlineStr">
        <is>
          <t>RORAIMA</t>
        </is>
      </c>
      <c r="G2153" t="inlineStr">
        <is>
          <t>G1 RR</t>
        </is>
      </c>
      <c r="H2153" t="inlineStr">
        <is>
          <t>VENEZUELANA É ESTUPRADA APÓS SER ENGANADA COM PROPOSTA DE EMPREGO EM BOA VISTA</t>
        </is>
      </c>
      <c r="I2153" t="inlineStr">
        <is>
          <t>VÍTIMA ESTAVA NA FRENTE DE ABRIGO QUANDO HOMEM CHEGOU E DISSE QUE PRECISAVA DE COZINHEIRA EM UMA FAZENDA NO CANTÁ. CRIMINOSO AINDA ROUBOU O CELULAR E OUTROS OBJETOS DA VÍTIMA.</t>
        </is>
      </c>
      <c r="J2153">
        <f>HYPERLINK("https://g1.globo.com/rr/roraima/noticia/venezuelana-e-estuprada-apos-ser-enganada-com-proposta-de-emprego-em-boa-vista.ghtml", "URL")</f>
        <v/>
      </c>
      <c r="K2153">
        <f>HYPERLINK("https://raw.githubusercontent.com/marcosmapl/dataset_imigrantes/main/noticias_filtered/g1/venezuelanos/2018/05_jun/html/g1_8c2dd64e-2323-11ed-b24f-6dbe51e79fca_3814.html", "HTML")</f>
        <v/>
      </c>
      <c r="L2153">
        <f>HYPERLINK("https://raw.githubusercontent.com/marcosmapl/dataset_imigrantes/main/noticias_filtered/g1/venezuelanos/2018/05_jun/txt/g1_8c2dd64e-2323-11ed-b24f-6dbe51e79fca_3814.txt", "TXT")</f>
        <v/>
      </c>
    </row>
    <row r="2154">
      <c r="A2154" s="1" t="n">
        <v>2152</v>
      </c>
      <c r="B2154" t="n">
        <v>2018</v>
      </c>
      <c r="C2154" s="2" t="n">
        <v>43259.6478765625</v>
      </c>
      <c r="D2154" t="inlineStr">
        <is>
          <t>G1</t>
        </is>
      </c>
      <c r="E2154" t="inlineStr">
        <is>
          <t>VENEZUELANOS</t>
        </is>
      </c>
      <c r="F2154" t="inlineStr">
        <is>
          <t>RORAIMA</t>
        </is>
      </c>
      <c r="G2154" t="inlineStr">
        <is>
          <t>G1 RR</t>
        </is>
      </c>
      <c r="H2154" t="inlineStr">
        <is>
          <t>ADVOGADA VENEZUELANA SUSPEITA DE EXERCER ILEGALMENTE PROFISSÃO DE DENTISTA É PRESA EM RR</t>
        </is>
      </c>
      <c r="I2154" t="inlineStr">
        <is>
          <t>MULHER DE 45 ANOS ATUAVA EM CONSULTÓRIO IMPROVISADO NA SALA DE UMA RESIDÊNCIA DO BAIRRO CAIMBÉ.</t>
        </is>
      </c>
      <c r="J2154">
        <f>HYPERLINK("https://g1.globo.com/rr/roraima/noticia/advogada-venezuelana-suspeita-de-exercer-ilegalmente-profissao-de-dentista-e-presa-em-rr.ghtml", "URL")</f>
        <v/>
      </c>
      <c r="K2154">
        <f>HYPERLINK("https://raw.githubusercontent.com/marcosmapl/dataset_imigrantes/main/noticias_filtered/g1/venezuelanos/2018/05_jun/html/g1_f9829092-2317-11ed-b24f-6dbe51e79fca_3237.html", "HTML")</f>
        <v/>
      </c>
      <c r="L2154">
        <f>HYPERLINK("https://raw.githubusercontent.com/marcosmapl/dataset_imigrantes/main/noticias_filtered/g1/venezuelanos/2018/05_jun/txt/g1_f9829092-2317-11ed-b24f-6dbe51e79fca_3237.txt", "TXT")</f>
        <v/>
      </c>
    </row>
    <row r="2155">
      <c r="A2155" s="1" t="n">
        <v>2153</v>
      </c>
      <c r="B2155" t="n">
        <v>2018</v>
      </c>
      <c r="C2155" s="2" t="n">
        <v>43258.76527777778</v>
      </c>
      <c r="D2155" t="inlineStr">
        <is>
          <t>A CRITICA</t>
        </is>
      </c>
      <c r="E2155" t="inlineStr">
        <is>
          <t>AMBOS</t>
        </is>
      </c>
      <c r="F2155" t="inlineStr">
        <is>
          <t>MANAUS</t>
        </is>
      </c>
      <c r="G2155" t="inlineStr">
        <is>
          <t>ALIK MENEZES</t>
        </is>
      </c>
      <c r="H2155" t="inlineStr">
        <is>
          <t>EX-CAMELÔS RETIRADOS DAS RUAS DO CENTRO SOFREM COM FALTA DE CLIENTES NAS GALERIAS</t>
        </is>
      </c>
      <c r="I2155" t="inlineStr">
        <is>
          <t>PERMISSIONÁRIOS RECEBERAM PROMESSA DE VIRAREM MICROEMPREENDEDORES, MAS ESTÃO ADOECENDO E PASSANDO DIFICULDADES</t>
        </is>
      </c>
      <c r="J2155">
        <f>HYPERLINK("https://www.acritica.com/manaus/ex-camelos-retirados-das-ruas-do-centro-sofrem-com-falta-de-clientes-nas-galerias-1.87795", "URL")</f>
        <v/>
      </c>
      <c r="K2155">
        <f>HYPERLINK("https://raw.githubusercontent.com/marcosmapl/dataset_imigrantes/main/noticias_filtered/a_critica/ambos/2018/05_jun/html/1.87795_901.html", "HTML")</f>
        <v/>
      </c>
      <c r="L2155">
        <f>HYPERLINK("https://raw.githubusercontent.com/marcosmapl/dataset_imigrantes/main/noticias_filtered/a_critica/ambos/2018/05_jun/txt/1.87795_901.txt", "TXT")</f>
        <v/>
      </c>
    </row>
    <row r="2156">
      <c r="A2156" s="1" t="n">
        <v>2154</v>
      </c>
      <c r="B2156" t="n">
        <v>2018</v>
      </c>
      <c r="C2156" s="2" t="n">
        <v>43258.45763888889</v>
      </c>
      <c r="D2156" t="inlineStr">
        <is>
          <t>PORTAL AMAZONIA</t>
        </is>
      </c>
      <c r="E2156" t="inlineStr">
        <is>
          <t>VENEZUELANOS</t>
        </is>
      </c>
      <c r="F2156" t="inlineStr">
        <is>
          <t>CIDADES</t>
        </is>
      </c>
      <c r="G2156" t="inlineStr">
        <is>
          <t>REDAÇÃO</t>
        </is>
      </c>
      <c r="H2156" t="inlineStr">
        <is>
          <t>MPF RECOMENDA MELHORIAS NO ATENDIMENTO A VENEZUELANOS EM RORAIMA</t>
        </is>
      </c>
      <c r="I2156" t="inlineStr">
        <is>
          <t>AO TODO, FORAM QUATRO RECOMENDAÇÕES EMITIDAS PELO MINISTÉRIO PÚBLICO FEDERAL (MPF) AOS GOVERNOS FEDERAL, ESTADUAL E MUNICIPAL. OS DOCUMENTOS, ASSINADOS PELA PROCURADORA DA REPÚBLICA MANOELA LOPES TRATAM DE QUESTÕES COMO O ACOLHIMENTO E ATENDIMENTO DE</t>
        </is>
      </c>
      <c r="J2156">
        <f>HYPERLINK("https://portalamazonia.com/noticias/cidades/mpf-recomenda-melhorias-no-atendimento-a-venezuelanos-em-roraima", "URL")</f>
        <v/>
      </c>
      <c r="K2156">
        <f>HYPERLINK("https://raw.githubusercontent.com/marcosmapl/dataset_imigrantes/main/noticias_filtered/portal_amazonia/venezuelanos/2018/05_jun/html/14374.14374_1484.html", "HTML")</f>
        <v/>
      </c>
      <c r="L2156">
        <f>HYPERLINK("https://raw.githubusercontent.com/marcosmapl/dataset_imigrantes/main/noticias_filtered/portal_amazonia/venezuelanos/2018/05_jun/txt/14374.14374_1484.txt", "TXT")</f>
        <v/>
      </c>
    </row>
    <row r="2157">
      <c r="A2157" s="1" t="n">
        <v>2155</v>
      </c>
      <c r="B2157" t="n">
        <v>2018</v>
      </c>
      <c r="C2157" s="2" t="n">
        <v>43257.95582990741</v>
      </c>
      <c r="D2157" t="inlineStr">
        <is>
          <t>G1</t>
        </is>
      </c>
      <c r="E2157" t="inlineStr">
        <is>
          <t>VENEZUELANOS</t>
        </is>
      </c>
      <c r="F2157" t="inlineStr">
        <is>
          <t>SÃO PAULO</t>
        </is>
      </c>
      <c r="G2157" t="inlineStr">
        <is>
          <t>LÉO ARCOVERDE E ADRIANA PERRONI, GLOBONEWS</t>
        </is>
      </c>
      <c r="H2157" t="inlineStr">
        <is>
          <t>PROMOTORIA VAI INVESTIGAR MORTE DE VENEZUELANO QUE PASSOU MAL EM ABRIGO DA PREFEITURA DE SP</t>
        </is>
      </c>
      <c r="I2157" t="inlineStr">
        <is>
          <t>MP APURA SE HOUVE OMISSÃO POR PARTE DO PODER PÚBLICO NO ATENDIMENTO AO IMIGRANTE.</t>
        </is>
      </c>
      <c r="J2157">
        <f>HYPERLINK("https://g1.globo.com/sp/sao-paulo/noticia/promotoria-vai-investigar-morte-de-venezuelano-que-passou-mal-em-abrigo-da-prefeitura-de-sp.ghtml", "URL")</f>
        <v/>
      </c>
      <c r="K2157">
        <f>HYPERLINK("https://raw.githubusercontent.com/marcosmapl/dataset_imigrantes/main/noticias_filtered/g1/venezuelanos/2018/05_jun/html/g1_13e316f2-2320-11ed-b24f-6dbe51e79fca_3661.html", "HTML")</f>
        <v/>
      </c>
      <c r="L2157">
        <f>HYPERLINK("https://raw.githubusercontent.com/marcosmapl/dataset_imigrantes/main/noticias_filtered/g1/venezuelanos/2018/05_jun/txt/g1_13e316f2-2320-11ed-b24f-6dbe51e79fca_3661.txt", "TXT")</f>
        <v/>
      </c>
    </row>
    <row r="2158">
      <c r="A2158" s="1" t="n">
        <v>2156</v>
      </c>
      <c r="B2158" t="n">
        <v>2018</v>
      </c>
      <c r="C2158" s="2" t="n">
        <v>43256.87292824074</v>
      </c>
      <c r="D2158" t="inlineStr">
        <is>
          <t>A CRITICA</t>
        </is>
      </c>
      <c r="E2158" t="inlineStr">
        <is>
          <t>VENEZUELANOS</t>
        </is>
      </c>
      <c r="F2158" t="inlineStr">
        <is>
          <t>ESPORTES</t>
        </is>
      </c>
      <c r="G2158" t="inlineStr">
        <is>
          <t>ACRÍTICA.COM</t>
        </is>
      </c>
      <c r="H2158" t="inlineStr">
        <is>
          <t>INDÍGENAS DO AMAZONAS CONQUISTAM OURO E PRATA NOS JOGOS SUL-AMERICANOS, NA BOLÍVIA</t>
        </is>
      </c>
      <c r="I2158" t="inlineStr">
        <is>
          <t>JOVENS FAZEM PARTE DO PROJETO ARQUEARIA INDÍGENA NO AMAZONAS, DA FUNDAÇÃO AMAZONAS SUSTENTÁVEL, E INTEGRARAM A SELEÇÃO BRASILEIRA NA COMPETIÇÃO</t>
        </is>
      </c>
      <c r="J2158">
        <f>HYPERLINK("https://www.acritica.com/esportes/indigenas-do-amazonas-conquistam-ouro-e-prata-nos-jogos-sul-americanos-na-bolivia-1.203203", "URL")</f>
        <v/>
      </c>
      <c r="K2158">
        <f>HYPERLINK("https://raw.githubusercontent.com/marcosmapl/dataset_imigrantes/main/noticias_filtered/a_critica/venezuelanos/2018/05_jun/html/1.203203_174.html", "HTML")</f>
        <v/>
      </c>
      <c r="L2158">
        <f>HYPERLINK("https://raw.githubusercontent.com/marcosmapl/dataset_imigrantes/main/noticias_filtered/a_critica/venezuelanos/2018/05_jun/txt/1.203203_174.txt", "TXT")</f>
        <v/>
      </c>
    </row>
    <row r="2159">
      <c r="A2159" s="1" t="n">
        <v>2157</v>
      </c>
      <c r="B2159" t="n">
        <v>2018</v>
      </c>
      <c r="C2159" s="2" t="n">
        <v>43256.86384133102</v>
      </c>
      <c r="D2159" t="inlineStr">
        <is>
          <t>G1</t>
        </is>
      </c>
      <c r="E2159" t="inlineStr">
        <is>
          <t>VENEZUELANOS</t>
        </is>
      </c>
      <c r="F2159" t="inlineStr">
        <is>
          <t>SÃO PAULO</t>
        </is>
      </c>
      <c r="G2159" t="inlineStr">
        <is>
          <t>G1 — SÃO PAULO</t>
        </is>
      </c>
      <c r="H2159" t="inlineStr">
        <is>
          <t>VENEZUELANO VINDO DE RORAIMA MORRE DE PNEUMONIA APÓS PASSAR MAL EM ABRIGO EM SP, DIZ PREFEITURA</t>
        </is>
      </c>
      <c r="I2159" t="inlineStr">
        <is>
          <t>SEGUNDO GESTÃO MUNICIPAL, HECTOR CABELLO, DE 55 ANOS, FOI INTERNADO NO DIA 28 DE MAIO NO HOSPITAL SAPOPEMBA, APÓS SENTIR-SE MAL NO CTA SÃO MATEUS.</t>
        </is>
      </c>
      <c r="J2159">
        <f>HYPERLINK("https://g1.globo.com/sp/sao-paulo/noticia/venezuelano-vindo-de-roraima-morre-de-pneumonia-apos-passar-mal-em-abrigo-em-sp-diz-prefeitura.ghtml", "URL")</f>
        <v/>
      </c>
      <c r="K2159">
        <f>HYPERLINK("https://raw.githubusercontent.com/marcosmapl/dataset_imigrantes/main/noticias_filtered/g1/venezuelanos/2018/05_jun/html/g1_0f0ad0c4-230d-11ed-b24f-6dbe51e79fca_2665.html", "HTML")</f>
        <v/>
      </c>
      <c r="L2159">
        <f>HYPERLINK("https://raw.githubusercontent.com/marcosmapl/dataset_imigrantes/main/noticias_filtered/g1/venezuelanos/2018/05_jun/txt/g1_0f0ad0c4-230d-11ed-b24f-6dbe51e79fca_2665.txt", "TXT")</f>
        <v/>
      </c>
    </row>
    <row r="2160">
      <c r="A2160" s="1" t="n">
        <v>2158</v>
      </c>
      <c r="B2160" t="n">
        <v>2018</v>
      </c>
      <c r="C2160" s="2" t="n">
        <v>43255.56867434028</v>
      </c>
      <c r="D2160" t="inlineStr">
        <is>
          <t>G1</t>
        </is>
      </c>
      <c r="E2160" t="inlineStr">
        <is>
          <t>VENEZUELANOS</t>
        </is>
      </c>
      <c r="F2160" t="inlineStr">
        <is>
          <t>MATO GROSSO</t>
        </is>
      </c>
      <c r="G2160" t="inlineStr">
        <is>
          <t>G1 MT</t>
        </is>
      </c>
      <c r="H2160" t="inlineStr">
        <is>
          <t>ORQUESTRA E VIOLINISTA VENEZUELANO SE APRESENTAM NO TEATRO ZULMIRA CANAVARROS EM CUIABÁ</t>
        </is>
      </c>
      <c r="I2160" t="inlineStr">
        <is>
          <t>O INGRESSO É A DOAÇÃO DE 1KG DE ALIMENTO NÃO PERECÍVEL ENTREGUE NO DIA DA APRESENTAÇÃO.</t>
        </is>
      </c>
      <c r="J2160">
        <f>HYPERLINK("https://g1.globo.com/mt/mato-grosso/noticia/orquestra-e-violinista-venezuelano-se-apresentam-no-teatro-zulmira-canavarros-em-cuiaba.ghtml", "URL")</f>
        <v/>
      </c>
      <c r="K2160">
        <f>HYPERLINK("https://raw.githubusercontent.com/marcosmapl/dataset_imigrantes/main/noticias_filtered/g1/venezuelanos/2018/05_jun/html/g1_8b350a20-232b-11ed-b24f-6dbe51e79fca_4254.html", "HTML")</f>
        <v/>
      </c>
      <c r="L2160">
        <f>HYPERLINK("https://raw.githubusercontent.com/marcosmapl/dataset_imigrantes/main/noticias_filtered/g1/venezuelanos/2018/05_jun/txt/g1_8b350a20-232b-11ed-b24f-6dbe51e79fca_4254.txt", "TXT")</f>
        <v/>
      </c>
    </row>
    <row r="2161">
      <c r="A2161" s="1" t="n">
        <v>2159</v>
      </c>
      <c r="B2161" t="n">
        <v>2018</v>
      </c>
      <c r="C2161" s="2" t="n">
        <v>43255.51741157407</v>
      </c>
      <c r="D2161" t="inlineStr">
        <is>
          <t>G1</t>
        </is>
      </c>
      <c r="E2161" t="inlineStr">
        <is>
          <t>VENEZUELANOS</t>
        </is>
      </c>
      <c r="F2161" t="inlineStr">
        <is>
          <t>RORAIMA</t>
        </is>
      </c>
      <c r="G2161" t="inlineStr">
        <is>
          <t>G1 RR</t>
        </is>
      </c>
      <c r="H2161" t="inlineStr">
        <is>
          <t>POLÍCIA DIVULGA FOTO DE CASAL VENEZUELANO SUSPEITO DE MATAR SERVIDOR PÚBLICO EM HOTEL DE BOA VISTA</t>
        </is>
      </c>
      <c r="I2161" t="inlineStr">
        <is>
          <t>SERVIDOR PÚBLICO FOI MORTO POR ASFIXIA, SEGUNDO LAUDO CADAVÉRICO. SUSPEITOS SÃO CONSIDERADOS FORAGIDOS PELA POLÍCIA CIVIL.</t>
        </is>
      </c>
      <c r="J2161">
        <f>HYPERLINK("https://g1.globo.com/rr/roraima/noticia/policia-divulga-foto-de-casal-venezuelano-suspeito-de-matar-servidor-publico-em-hotel-de-boa-vista.ghtml", "URL")</f>
        <v/>
      </c>
      <c r="K2161">
        <f>HYPERLINK("https://raw.githubusercontent.com/marcosmapl/dataset_imigrantes/main/noticias_filtered/g1/venezuelanos/2018/05_jun/html/g1_f9857d00-231e-11ed-b24f-6dbe51e79fca_3592.html", "HTML")</f>
        <v/>
      </c>
      <c r="L2161">
        <f>HYPERLINK("https://raw.githubusercontent.com/marcosmapl/dataset_imigrantes/main/noticias_filtered/g1/venezuelanos/2018/05_jun/txt/g1_f9857d00-231e-11ed-b24f-6dbe51e79fca_3592.txt", "TXT")</f>
        <v/>
      </c>
    </row>
    <row r="2162">
      <c r="A2162" s="1" t="n">
        <v>2160</v>
      </c>
      <c r="B2162" t="n">
        <v>2018</v>
      </c>
      <c r="C2162" s="2" t="n">
        <v>43254.76277777777</v>
      </c>
      <c r="D2162" t="inlineStr">
        <is>
          <t>A CRITICA</t>
        </is>
      </c>
      <c r="E2162" t="inlineStr">
        <is>
          <t>VENEZUELANOS</t>
        </is>
      </c>
      <c r="F2162" t="inlineStr">
        <is>
          <t>MANAUS</t>
        </is>
      </c>
      <c r="G2162" t="inlineStr">
        <is>
          <t>ANTÔNIO XIMENES - ESPECIAL PARA A CRÍTICA</t>
        </is>
      </c>
      <c r="H2162" t="inlineStr">
        <is>
          <t>'TRABALHO COM A CONSTITUIÇÃO BRASILEIRA DEBAIXO DO BRAÇO’, DIZ CHEFE DO CMA</t>
        </is>
      </c>
      <c r="I2162" t="inlineStr">
        <is>
          <t>GENERAL CÉSAR AUGUSTO NARDI DE SOUZA AFIRMA QUE, NA AMAZÔNIA, ACEITAÇÃO DO EXÉRCITO É DE 95% E  FALA DE RECENTES MISSÕES ASSUMIDAS NA REGIÃO</t>
        </is>
      </c>
      <c r="J2162">
        <f>HYPERLINK("https://www.acritica.com/manaus/trabalho-com-a-constituic-o-brasileira-debaixo-do-braco-diz-chefe-do-cma-1.203321", "URL")</f>
        <v/>
      </c>
      <c r="K2162">
        <f>HYPERLINK("https://raw.githubusercontent.com/marcosmapl/dataset_imigrantes/main/noticias_filtered/a_critica/venezuelanos/2018/05_jun/html/1.203321_361.html", "HTML")</f>
        <v/>
      </c>
      <c r="L2162">
        <f>HYPERLINK("https://raw.githubusercontent.com/marcosmapl/dataset_imigrantes/main/noticias_filtered/a_critica/venezuelanos/2018/05_jun/txt/1.203321_361.txt", "TXT")</f>
        <v/>
      </c>
    </row>
    <row r="2163">
      <c r="A2163" s="1" t="n">
        <v>2161</v>
      </c>
      <c r="B2163" t="n">
        <v>2018</v>
      </c>
      <c r="C2163" s="2" t="n">
        <v>43253.92241383102</v>
      </c>
      <c r="D2163" t="inlineStr">
        <is>
          <t>G1</t>
        </is>
      </c>
      <c r="E2163" t="inlineStr">
        <is>
          <t>VENEZUELANOS</t>
        </is>
      </c>
      <c r="F2163" t="inlineStr">
        <is>
          <t>RORAIMA</t>
        </is>
      </c>
      <c r="G2163" t="inlineStr">
        <is>
          <t>G1 RR</t>
        </is>
      </c>
      <c r="H2163" t="inlineStr">
        <is>
          <t>POLÍCIA PRENDE JOVEM NO MOMENTO EM QUE APONTAVA ARMA CONTRA VENEZUELANO EM BOA VISTA</t>
        </is>
      </c>
      <c r="I2163" t="inlineStr">
        <is>
          <t>CASO OCORREU NA MADRUGADA DE SÁBADO (2) NO BAIRRO CAIMBÉ, ZONA OESTE DA CIDADE.</t>
        </is>
      </c>
      <c r="J2163">
        <f>HYPERLINK("https://g1.globo.com/rr/roraima/noticia/policia-prende-jovem-no-momento-em-que-apontava-arma-contra-venezuelano-em-boa-vista.ghtml", "URL")</f>
        <v/>
      </c>
      <c r="K2163">
        <f>HYPERLINK("https://raw.githubusercontent.com/marcosmapl/dataset_imigrantes/main/noticias_filtered/g1/venezuelanos/2018/05_jun/html/g1_05a64556-2315-11ed-b24f-6dbe51e79fca_3062.html", "HTML")</f>
        <v/>
      </c>
      <c r="L2163">
        <f>HYPERLINK("https://raw.githubusercontent.com/marcosmapl/dataset_imigrantes/main/noticias_filtered/g1/venezuelanos/2018/05_jun/txt/g1_05a64556-2315-11ed-b24f-6dbe51e79fca_3062.txt", "TXT")</f>
        <v/>
      </c>
    </row>
    <row r="2164">
      <c r="A2164" s="1" t="n">
        <v>2162</v>
      </c>
      <c r="B2164" t="n">
        <v>2018</v>
      </c>
      <c r="C2164" s="2" t="n">
        <v>43251.73576277777</v>
      </c>
      <c r="D2164" t="inlineStr">
        <is>
          <t>G1</t>
        </is>
      </c>
      <c r="E2164" t="inlineStr">
        <is>
          <t>HAITIANOS</t>
        </is>
      </c>
      <c r="F2164" t="inlineStr">
        <is>
          <t>MUNDO</t>
        </is>
      </c>
      <c r="G2164" t="inlineStr">
        <is>
          <t>FRANCE PRESSE</t>
        </is>
      </c>
      <c r="H2164" t="inlineStr">
        <is>
          <t>NO CONSERVADOR HAITI, CASAL LUTA PELA TOLERÂNCIA DOS TRANSGÊNEROS</t>
        </is>
      </c>
      <c r="I2164" t="inlineStr">
        <is>
          <t>AOS 45 ANOS, A HAITIANA YAISAH VAL É UMA DAS PRIMEIRAS MULHERES NO HAITI A TORNAR PÚBLICA SUA TRANSEXUALIDADE. A REVELAÇÃO VEIO TRÊS DIAS ANTES DO CASAMENTO. O ENTÃO NOIVO TEVE BOA RECEPTIVIDADE.</t>
        </is>
      </c>
      <c r="J2164">
        <f>HYPERLINK("https://g1.globo.com/mundo/noticia/no-conservador-haiti-casal-luta-pela-tolerancia-dos-transgeneros.ghtml", "URL")</f>
        <v/>
      </c>
      <c r="K2164">
        <f>HYPERLINK("https://raw.githubusercontent.com/marcosmapl/dataset_imigrantes/main/noticias_filtered/g1/haitianos/2018/04_mai/html/g1_08afdcb2-22ed-11ed-b24f-6dbe51e79fca_1676.html", "HTML")</f>
        <v/>
      </c>
      <c r="L2164">
        <f>HYPERLINK("https://raw.githubusercontent.com/marcosmapl/dataset_imigrantes/main/noticias_filtered/g1/haitianos/2018/04_mai/txt/g1_08afdcb2-22ed-11ed-b24f-6dbe51e79fca_1676.txt", "TXT")</f>
        <v/>
      </c>
    </row>
    <row r="2165">
      <c r="A2165" s="1" t="n">
        <v>2163</v>
      </c>
      <c r="B2165" t="n">
        <v>2018</v>
      </c>
      <c r="C2165" s="2" t="n">
        <v>43250.43701388889</v>
      </c>
      <c r="D2165" t="inlineStr">
        <is>
          <t>A CRITICA</t>
        </is>
      </c>
      <c r="E2165" t="inlineStr">
        <is>
          <t>VENEZUELANOS</t>
        </is>
      </c>
      <c r="F2165" t="inlineStr">
        <is>
          <t>MANAUS</t>
        </is>
      </c>
      <c r="G2165" t="inlineStr">
        <is>
          <t>NELSON BRILHANTE</t>
        </is>
      </c>
      <c r="H2165" t="inlineStr">
        <is>
          <t>CASOS CONFIRMADOS DE SARAMPO EM MANAUS AUMENTAM 283,3% EM UMA SEMANA</t>
        </is>
      </c>
      <c r="I2165" t="inlineStr">
        <is>
          <t>NÚMERO DE PESSOAS INFECTADAS PASSOU DE 30 PARA 115. O ACUMULADO DE NOTIFICAÇÕES JÁ ALCANÇA 775, ENTRE SUSPEITOS, DESCARTADOS E CONFIRMADOS</t>
        </is>
      </c>
      <c r="J2165">
        <f>HYPERLINK("https://www.acritica.com/manaus/casos-confirmados-de-sarampo-em-manaus-aumentam-283-3-em-uma-semana-1.203685", "URL")</f>
        <v/>
      </c>
      <c r="K2165">
        <f>HYPERLINK("https://raw.githubusercontent.com/marcosmapl/dataset_imigrantes/main/noticias_filtered/a_critica/venezuelanos/2018/04_mai/html/1.203685_524.html", "HTML")</f>
        <v/>
      </c>
      <c r="L2165">
        <f>HYPERLINK("https://raw.githubusercontent.com/marcosmapl/dataset_imigrantes/main/noticias_filtered/a_critica/venezuelanos/2018/04_mai/txt/1.203685_524.txt", "TXT")</f>
        <v/>
      </c>
    </row>
    <row r="2166">
      <c r="A2166" s="1" t="n">
        <v>2164</v>
      </c>
      <c r="B2166" t="n">
        <v>2018</v>
      </c>
      <c r="C2166" s="2" t="n">
        <v>43249.83263888889</v>
      </c>
      <c r="D2166" t="inlineStr">
        <is>
          <t>A CRITICA</t>
        </is>
      </c>
      <c r="E2166" t="inlineStr">
        <is>
          <t>VENEZUELANOS</t>
        </is>
      </c>
      <c r="F2166" t="inlineStr">
        <is>
          <t>ENTRETENIMENTO</t>
        </is>
      </c>
      <c r="G2166" t="inlineStr">
        <is>
          <t>OSWALDO NETO</t>
        </is>
      </c>
      <c r="H2166" t="inlineStr">
        <is>
          <t>‘PRECISO FALAR DA AMAZÔNIA’, DIZ JORNALISTA AMAZONENSE E MISS BRASIL 2018, MAYRA DIAS</t>
        </is>
      </c>
      <c r="I2166" t="inlineStr">
        <is>
          <t>JORNALISTA VAI REPRESENTAR O BRASIL NO MISS UNIVERSO E AFIRMA QUE VAI ESTIMULAR O EMPODERAMENTO FEMININO. "EU SEMPRE QUIS MUITO, ACREDITEI QUE ERA POSSÍVEL E TRABALHEI PARA ISSO", DISSE</t>
        </is>
      </c>
      <c r="J2166">
        <f>HYPERLINK("https://www.acritica.com/entretenimento/preciso-falar-da-amazonia-diz-jornalista-amazonense-e-miss-brasil-2018-mayra-dias-1.203760", "URL")</f>
        <v/>
      </c>
      <c r="K2166">
        <f>HYPERLINK("https://raw.githubusercontent.com/marcosmapl/dataset_imigrantes/main/noticias_filtered/a_critica/venezuelanos/2018/04_mai/html/1.203760_1171.html", "HTML")</f>
        <v/>
      </c>
      <c r="L2166">
        <f>HYPERLINK("https://raw.githubusercontent.com/marcosmapl/dataset_imigrantes/main/noticias_filtered/a_critica/venezuelanos/2018/04_mai/txt/1.203760_1171.txt", "TXT")</f>
        <v/>
      </c>
    </row>
    <row r="2167">
      <c r="A2167" s="1" t="n">
        <v>2165</v>
      </c>
      <c r="B2167" t="n">
        <v>2018</v>
      </c>
      <c r="C2167" s="2" t="n">
        <v>43249.79199050926</v>
      </c>
      <c r="D2167" t="inlineStr">
        <is>
          <t>G1</t>
        </is>
      </c>
      <c r="E2167" t="inlineStr">
        <is>
          <t>VENEZUELANOS</t>
        </is>
      </c>
      <c r="F2167" t="inlineStr">
        <is>
          <t>POP &amp; ARTE</t>
        </is>
      </c>
      <c r="G2167" t="inlineStr">
        <is>
          <t>AGÊNCIA EFE</t>
        </is>
      </c>
      <c r="H2167" t="inlineStr">
        <is>
          <t>EVIO DI MARZO, CANTOR VENEZUELANO, É ASSASSINADO DURANTE ASSALTO EM CARACAS</t>
        </is>
      </c>
      <c r="I2167" t="inlineStr">
        <is>
          <t>ARTISTA TINHA 64 ANOS E FOI BALEADO QUANDO PASSAVA DE CARRO COM A MULHER E OS FILHOS NA REGIÃO CENTRAL DA CAPITAL. ELE TERIA REAGIDO À ABORDAGEM.</t>
        </is>
      </c>
      <c r="J2167">
        <f>HYPERLINK("https://g1.globo.com/pop-arte/musica/noticia/evio-di-marzo-cantor-venezuelano-e-assassinado-durante-assalto-em-caracas.ghtml", "URL")</f>
        <v/>
      </c>
      <c r="K2167">
        <f>HYPERLINK("https://raw.githubusercontent.com/marcosmapl/dataset_imigrantes/main/noticias_filtered/g1/venezuelanos/2018/04_mai/html/g1_ee52d444-2316-11ed-b24f-6dbe51e79fca_3178.html", "HTML")</f>
        <v/>
      </c>
      <c r="L2167">
        <f>HYPERLINK("https://raw.githubusercontent.com/marcosmapl/dataset_imigrantes/main/noticias_filtered/g1/venezuelanos/2018/04_mai/txt/g1_ee52d444-2316-11ed-b24f-6dbe51e79fca_3178.txt", "TXT")</f>
        <v/>
      </c>
    </row>
    <row r="2168">
      <c r="A2168" s="1" t="n">
        <v>2166</v>
      </c>
      <c r="B2168" t="n">
        <v>2018</v>
      </c>
      <c r="C2168" s="2" t="n">
        <v>43249.54655746528</v>
      </c>
      <c r="D2168" t="inlineStr">
        <is>
          <t>G1</t>
        </is>
      </c>
      <c r="E2168" t="inlineStr">
        <is>
          <t>VENEZUELANOS</t>
        </is>
      </c>
      <c r="F2168" t="inlineStr">
        <is>
          <t>MUNDO</t>
        </is>
      </c>
      <c r="G2168" t="inlineStr">
        <is>
          <t>FRANCE PRESSE</t>
        </is>
      </c>
      <c r="H2168" t="inlineStr">
        <is>
          <t>CANTOR VENEZUELANO É MORTO EM ASSALTO EM CARACAS</t>
        </is>
      </c>
      <c r="I2168" t="inlineStr">
        <is>
          <t>EVIO DI MARZO FOI ABORDADO POR LADRÕES AO DEIXAR UMA MESQUITA NO CENTRO DE CARACAS.</t>
        </is>
      </c>
      <c r="J2168">
        <f>HYPERLINK("https://g1.globo.com/mundo/noticia/cantor-venezuelano-e-morto-em-assalto-em-caracas.ghtml", "URL")</f>
        <v/>
      </c>
      <c r="K2168">
        <f>HYPERLINK("https://raw.githubusercontent.com/marcosmapl/dataset_imigrantes/main/noticias_filtered/g1/venezuelanos/2018/04_mai/html/g1_e532f16e-232a-11ed-b24f-6dbe51e79fca_4208.html", "HTML")</f>
        <v/>
      </c>
      <c r="L2168">
        <f>HYPERLINK("https://raw.githubusercontent.com/marcosmapl/dataset_imigrantes/main/noticias_filtered/g1/venezuelanos/2018/04_mai/txt/g1_e532f16e-232a-11ed-b24f-6dbe51e79fca_4208.txt", "TXT")</f>
        <v/>
      </c>
    </row>
    <row r="2169">
      <c r="A2169" s="1" t="n">
        <v>2167</v>
      </c>
      <c r="B2169" t="n">
        <v>2018</v>
      </c>
      <c r="C2169" s="2" t="n">
        <v>43243.86136053241</v>
      </c>
      <c r="D2169" t="inlineStr">
        <is>
          <t>G1</t>
        </is>
      </c>
      <c r="E2169" t="inlineStr">
        <is>
          <t>VENEZUELANOS</t>
        </is>
      </c>
      <c r="F2169" t="inlineStr">
        <is>
          <t>MUNDO</t>
        </is>
      </c>
      <c r="G2169" t="inlineStr">
        <is>
          <t>REUTERS</t>
        </is>
      </c>
      <c r="H2169" t="inlineStr">
        <is>
          <t>CAMPANHA DO 2º COLOCADO NA ELEIÇÃO VENEZUELANA PROMETE CONTESTAR FORMALMENTE RESULTADO</t>
        </is>
      </c>
      <c r="I2169" t="inlineStr">
        <is>
          <t>'HÁ TODA UMA COLEÇÃO DE IRREGULARIDADES', DISSE CHEFE DA CAMPANHA DE HENRI FALCÓN. NICOLÁS MADURO SE REELEGEU NO DOMINGO EM PLEITO CONTESTADO.</t>
        </is>
      </c>
      <c r="J2169">
        <f>HYPERLINK("https://g1.globo.com/mundo/noticia/campanha-do-2-colocado-na-eleicao-venezuelana-promete-contestar-formalmente-resultado.ghtml", "URL")</f>
        <v/>
      </c>
      <c r="K2169">
        <f>HYPERLINK("https://raw.githubusercontent.com/marcosmapl/dataset_imigrantes/main/noticias_filtered/g1/venezuelanos/2018/04_mai/html/g1_e78b6ac6-2326-11ed-b24f-6dbe51e79fca_4005.html", "HTML")</f>
        <v/>
      </c>
      <c r="L2169">
        <f>HYPERLINK("https://raw.githubusercontent.com/marcosmapl/dataset_imigrantes/main/noticias_filtered/g1/venezuelanos/2018/04_mai/txt/g1_e78b6ac6-2326-11ed-b24f-6dbe51e79fca_4005.txt", "TXT")</f>
        <v/>
      </c>
    </row>
    <row r="2170">
      <c r="A2170" s="1" t="n">
        <v>2168</v>
      </c>
      <c r="B2170" t="n">
        <v>2018</v>
      </c>
      <c r="C2170" s="2" t="n">
        <v>43242.5190625</v>
      </c>
      <c r="D2170" t="inlineStr">
        <is>
          <t>A CRITICA</t>
        </is>
      </c>
      <c r="E2170" t="inlineStr">
        <is>
          <t>AMBOS</t>
        </is>
      </c>
      <c r="F2170" t="inlineStr"/>
      <c r="G2170" t="inlineStr">
        <is>
          <t>ELAINE PATRICIA CRUZ – AGÊNCIA BRASIL</t>
        </is>
      </c>
      <c r="H2170" t="inlineStr">
        <is>
          <t>GOVERNO BRASILEIRO PRETENDE ATRAIR MÃO DE OBRA ESTRANGEIRA QUALIFICADA PARA O PAÍS</t>
        </is>
      </c>
      <c r="I2170" t="inlineStr">
        <is>
          <t>O BRASIL QUER FACILITAR AS CONDIÇÕES PARA QUE ESSES PROFISSIONAIS ESTRANGEIROS QUALIFICADOS VENHAM PARA SOLO BRASILEIRO, DIMINUINDO A BUROCRACIA. ÁREAS ESTRATÉGICAS SERÃO DEFINIDAS</t>
        </is>
      </c>
      <c r="J2170">
        <f>HYPERLINK("https://www.acritica.com/governo-brasileiro-pretende-atrair-m-o-de-obra-estrangeira-qualificada-para-o-pais-1.187617", "URL")</f>
        <v/>
      </c>
      <c r="K2170">
        <f>HYPERLINK("https://raw.githubusercontent.com/marcosmapl/dataset_imigrantes/main/noticias_filtered/a_critica/ambos/2018/04_mai/html/1.187617_330.html", "HTML")</f>
        <v/>
      </c>
      <c r="L2170">
        <f>HYPERLINK("https://raw.githubusercontent.com/marcosmapl/dataset_imigrantes/main/noticias_filtered/a_critica/ambos/2018/04_mai/txt/1.187617_330.txt", "TXT")</f>
        <v/>
      </c>
    </row>
    <row r="2171">
      <c r="A2171" s="1" t="n">
        <v>2169</v>
      </c>
      <c r="B2171" t="n">
        <v>2018</v>
      </c>
      <c r="C2171" s="2" t="n">
        <v>43241.79722222222</v>
      </c>
      <c r="D2171" t="inlineStr">
        <is>
          <t>A CRITICA</t>
        </is>
      </c>
      <c r="E2171" t="inlineStr">
        <is>
          <t>VENEZUELANOS</t>
        </is>
      </c>
      <c r="F2171" t="inlineStr"/>
      <c r="G2171" t="inlineStr">
        <is>
          <t>PAOLA DE ORTE - REPÓRTER DA AGÊNCIA BRASIL</t>
        </is>
      </c>
      <c r="H2171" t="inlineStr">
        <is>
          <t>EUA ANUNCIAM NOVAS SANÇÕES CONTRA VENEZUELA APÓS REELEIÇÃO DE MADURO</t>
        </is>
      </c>
      <c r="I2171" t="inlineStr">
        <is>
          <t>DECRETO PROÍBE NORTE-AMERICANOS DE COMPRAR DÍVIDAS DA VENEZUELA. SEGUNDO O DECRETO, A DECISÃO FOI TOMADA COMO CONSEQUÊNCIA DAS RECENTES ATIVIDADES DO GOVERNO DE NICOLÁS MADURO</t>
        </is>
      </c>
      <c r="J2171">
        <f>HYPERLINK("https://www.acritica.com/eua-anunciam-novas-sanc-es-contra-venezuela-apos-reeleic-o-de-maduro-1.187457", "URL")</f>
        <v/>
      </c>
      <c r="K2171">
        <f>HYPERLINK("https://raw.githubusercontent.com/marcosmapl/dataset_imigrantes/main/noticias_filtered/a_critica/venezuelanos/2018/04_mai/html/1.187457_390.html", "HTML")</f>
        <v/>
      </c>
      <c r="L2171">
        <f>HYPERLINK("https://raw.githubusercontent.com/marcosmapl/dataset_imigrantes/main/noticias_filtered/a_critica/venezuelanos/2018/04_mai/txt/1.187457_390.txt", "TXT")</f>
        <v/>
      </c>
    </row>
    <row r="2172">
      <c r="A2172" s="1" t="n">
        <v>2170</v>
      </c>
      <c r="B2172" t="n">
        <v>2018</v>
      </c>
      <c r="C2172" s="2" t="n">
        <v>43241.74597398148</v>
      </c>
      <c r="D2172" t="inlineStr">
        <is>
          <t>G1</t>
        </is>
      </c>
      <c r="E2172" t="inlineStr">
        <is>
          <t>VENEZUELANOS</t>
        </is>
      </c>
      <c r="F2172" t="inlineStr">
        <is>
          <t>RORAIMA</t>
        </is>
      </c>
      <c r="G2172" t="inlineStr">
        <is>
          <t>G1 RR</t>
        </is>
      </c>
      <c r="H2172" t="inlineStr">
        <is>
          <t>JOVEM VENEZUELANO É ENCONTRADO MORTO DENTRO DE ESGOTO EM BOA VISTA</t>
        </is>
      </c>
      <c r="I2172" t="inlineStr">
        <is>
          <t>CORPO COM MARCA DE TIRO NA CABEÇA FOI ENCONTRADO PELA POLÍCIA MILITAR EM ESGOTO NA ÁREA CONHECIDA COMO 'BEIRAL', NA REGIÃO CENTRAL DE BOA VISTA.</t>
        </is>
      </c>
      <c r="J2172">
        <f>HYPERLINK("https://g1.globo.com/rr/roraima/noticia/jovem-venezuelano-e-encontrado-morto-dentro-de-esgoto-em-boa-vista.ghtml", "URL")</f>
        <v/>
      </c>
      <c r="K2172">
        <f>HYPERLINK("https://raw.githubusercontent.com/marcosmapl/dataset_imigrantes/main/noticias_filtered/g1/venezuelanos/2018/04_mai/html/g1_91024768-230f-11ed-b24f-6dbe51e79fca_2804.html", "HTML")</f>
        <v/>
      </c>
      <c r="L2172">
        <f>HYPERLINK("https://raw.githubusercontent.com/marcosmapl/dataset_imigrantes/main/noticias_filtered/g1/venezuelanos/2018/04_mai/txt/g1_91024768-230f-11ed-b24f-6dbe51e79fca_2804.txt", "TXT")</f>
        <v/>
      </c>
    </row>
    <row r="2173">
      <c r="A2173" s="1" t="n">
        <v>2171</v>
      </c>
      <c r="B2173" t="n">
        <v>2018</v>
      </c>
      <c r="C2173" s="2" t="n">
        <v>43241.66458333333</v>
      </c>
      <c r="D2173" t="inlineStr">
        <is>
          <t>A CRITICA</t>
        </is>
      </c>
      <c r="E2173" t="inlineStr">
        <is>
          <t>HAITIANOS</t>
        </is>
      </c>
      <c r="F2173" t="inlineStr">
        <is>
          <t>MANAUS</t>
        </is>
      </c>
      <c r="G2173" t="inlineStr">
        <is>
          <t>AMANDA GUIMARÃES</t>
        </is>
      </c>
      <c r="H2173" t="inlineStr">
        <is>
          <t>MULHERES COMBATEM PRECONCEITO E DISPUTAM VAGAS PARA PEDREIROS EM MANAUS</t>
        </is>
      </c>
      <c r="I2173" t="inlineStr">
        <is>
          <t>"NÃO ME INCOMODA FALAREM QUE ESTE TRABALHO É DE MACHO, PORQUE FAÇO MAIS QUE MUITO DELES", DISSE MÁRCIA CASTRO. CONHEÇA ESSA E OUTRAS HISTÓRIAS DE QUEM BUSCA UM EMPREGO</t>
        </is>
      </c>
      <c r="J2173">
        <f>HYPERLINK("https://www.acritica.com/manaus/mulheres-combatem-preconceito-e-disputam-vagas-para-pedreiros-em-manaus-1.187517", "URL")</f>
        <v/>
      </c>
      <c r="K2173">
        <f>HYPERLINK("https://raw.githubusercontent.com/marcosmapl/dataset_imigrantes/main/noticias_filtered/a_critica/haitianos/2018/04_mai/html/1.187517_425.html", "HTML")</f>
        <v/>
      </c>
      <c r="L2173">
        <f>HYPERLINK("https://raw.githubusercontent.com/marcosmapl/dataset_imigrantes/main/noticias_filtered/a_critica/haitianos/2018/04_mai/txt/1.187517_425.txt", "TXT")</f>
        <v/>
      </c>
    </row>
    <row r="2174">
      <c r="A2174" s="1" t="n">
        <v>2172</v>
      </c>
      <c r="B2174" t="n">
        <v>2018</v>
      </c>
      <c r="C2174" s="2" t="n">
        <v>43241.58626157408</v>
      </c>
      <c r="D2174" t="inlineStr">
        <is>
          <t>A CRITICA</t>
        </is>
      </c>
      <c r="E2174" t="inlineStr">
        <is>
          <t>VENEZUELANOS</t>
        </is>
      </c>
      <c r="F2174" t="inlineStr"/>
      <c r="G2174" t="inlineStr">
        <is>
          <t>RENATA GIRALDI (AGÊNCIA BRASIL)</t>
        </is>
      </c>
      <c r="H2174" t="inlineStr">
        <is>
          <t>BRASIL E MAIS 13 PAÍSES NÃO RECONHECEM A LEGITIMIDADE NA REELEIÇÃO DE MADURO</t>
        </is>
      </c>
      <c r="I2174" t="inlineStr">
        <is>
          <t>PRESIDENTE VENEZUELANO DESDE 2013, NICOLÁS FOI REELEITO EM PLEITO QUESTIONADO PELA OPOSIÇÃO. PAÍSES VÃO CONVOCAR EMBAIXADORES DA PARA DAR ESCLARECIMENTOS</t>
        </is>
      </c>
      <c r="J2174">
        <f>HYPERLINK("https://www.acritica.com/brasil-e-mais-13-paises-n-o-reconhecem-a-legitimidade-na-reeleic-o-de-maduro-1.187543", "URL")</f>
        <v/>
      </c>
      <c r="K2174">
        <f>HYPERLINK("https://raw.githubusercontent.com/marcosmapl/dataset_imigrantes/main/noticias_filtered/a_critica/venezuelanos/2018/04_mai/html/1.187543_13.html", "HTML")</f>
        <v/>
      </c>
      <c r="L2174">
        <f>HYPERLINK("https://raw.githubusercontent.com/marcosmapl/dataset_imigrantes/main/noticias_filtered/a_critica/venezuelanos/2018/04_mai/txt/1.187543_13.txt", "TXT")</f>
        <v/>
      </c>
    </row>
    <row r="2175">
      <c r="A2175" s="1" t="n">
        <v>2173</v>
      </c>
      <c r="B2175" t="n">
        <v>2018</v>
      </c>
      <c r="C2175" s="2" t="n">
        <v>43241.51180555556</v>
      </c>
      <c r="D2175" t="inlineStr">
        <is>
          <t>A CRITICA</t>
        </is>
      </c>
      <c r="E2175" t="inlineStr">
        <is>
          <t>VENEZUELANOS</t>
        </is>
      </c>
      <c r="F2175" t="inlineStr"/>
      <c r="G2175" t="inlineStr">
        <is>
          <t>RENATA GIRALDI (AGÊNCIA BRASIL)</t>
        </is>
      </c>
      <c r="H2175" t="inlineStr">
        <is>
          <t>MADURO É REELEITO PRESIDENTE DA VENEZUELA EM ELEIÇÃO QUESTIONADA PELA OPOSIÇÃO</t>
        </is>
      </c>
      <c r="I2175" t="inlineStr">
        <is>
          <t>PRESIDENTE VENEZUELANO DESDE 2013, NICOLÁS, 55, FOI REELEITO PARA MANDATO DE MAIS SEIS ANOS. PLEITO RECEBEU ELEVADO ÍNDICE DE ABSTENÇÃO</t>
        </is>
      </c>
      <c r="J2175">
        <f>HYPERLINK("https://www.acritica.com/maduro-e-reeleito-presidente-da-venezuela-em-eleic-o-questionada-pela-oposic-o-1.187557", "URL")</f>
        <v/>
      </c>
      <c r="K2175">
        <f>HYPERLINK("https://raw.githubusercontent.com/marcosmapl/dataset_imigrantes/main/noticias_filtered/a_critica/venezuelanos/2018/04_mai/html/1.187557_1297.html", "HTML")</f>
        <v/>
      </c>
      <c r="L2175">
        <f>HYPERLINK("https://raw.githubusercontent.com/marcosmapl/dataset_imigrantes/main/noticias_filtered/a_critica/venezuelanos/2018/04_mai/txt/1.187557_1297.txt", "TXT")</f>
        <v/>
      </c>
    </row>
    <row r="2176">
      <c r="A2176" s="1" t="n">
        <v>2174</v>
      </c>
      <c r="B2176" t="n">
        <v>2018</v>
      </c>
      <c r="C2176" s="2" t="n">
        <v>43241.44256809028</v>
      </c>
      <c r="D2176" t="inlineStr">
        <is>
          <t>G1</t>
        </is>
      </c>
      <c r="E2176" t="inlineStr">
        <is>
          <t>VENEZUELANOS</t>
        </is>
      </c>
      <c r="F2176" t="inlineStr">
        <is>
          <t>MUNDO</t>
        </is>
      </c>
      <c r="G2176" t="inlineStr">
        <is>
          <t>G1</t>
        </is>
      </c>
      <c r="H2176" t="inlineStr">
        <is>
          <t>NICOLÁS MADURO: DE LÍDER DA REVOLUÇÃO BOLIVARIANA A PRESIDENTE ACUSADO DE PROVOCAR O CAOS VENEZUELANO</t>
        </is>
      </c>
      <c r="I2176" t="inlineStr">
        <is>
          <t>PRESIDENTE FOI REELEITO NESTE DOMINGO A MAIS 6 ANOS NO PODER, EM ELEIÇÃO MARCADA POR DENÚNCIAS DE FRAUDE, BOICOTE DA OPOSIÇÃO E ALTA ABSTENÇÃO.</t>
        </is>
      </c>
      <c r="J2176">
        <f>HYPERLINK("https://g1.globo.com/mundo/noticia/nicolas-maduro-de-lider-da-revolucao-bolivariana-a-presidente-acusado-de-provocar-o-caos-venezuelano.ghtml", "URL")</f>
        <v/>
      </c>
      <c r="K2176">
        <f>HYPERLINK("https://raw.githubusercontent.com/marcosmapl/dataset_imigrantes/main/noticias_filtered/g1/venezuelanos/2018/04_mai/html/g1_49b19f66-2324-11ed-b24f-6dbe51e79fca_3861.html", "HTML")</f>
        <v/>
      </c>
      <c r="L2176">
        <f>HYPERLINK("https://raw.githubusercontent.com/marcosmapl/dataset_imigrantes/main/noticias_filtered/g1/venezuelanos/2018/04_mai/txt/g1_49b19f66-2324-11ed-b24f-6dbe51e79fca_3861.txt", "TXT")</f>
        <v/>
      </c>
    </row>
    <row r="2177">
      <c r="A2177" s="1" t="n">
        <v>2175</v>
      </c>
      <c r="B2177" t="n">
        <v>2018</v>
      </c>
      <c r="C2177" s="2" t="n">
        <v>43240.92564814815</v>
      </c>
      <c r="D2177" t="inlineStr">
        <is>
          <t>A CRITICA</t>
        </is>
      </c>
      <c r="E2177" t="inlineStr">
        <is>
          <t>VENEZUELANOS</t>
        </is>
      </c>
      <c r="F2177" t="inlineStr">
        <is>
          <t>MANAUS</t>
        </is>
      </c>
      <c r="G2177" t="inlineStr">
        <is>
          <t>PAULO ANDRÉ NUNES</t>
        </is>
      </c>
      <c r="H2177" t="inlineStr">
        <is>
          <t>COM LEMA 'TODOS IRMÃOS E IRMÃS', CELEBRAÇÃO DE PENTECOSTES LOTA SAMBÓDROMO</t>
        </is>
      </c>
      <c r="I2177" t="inlineStr">
        <is>
          <t>CERCA DE 100 MIL CATÓLICOS ERAM ESPERADOS PELA ARQUIDIOCESE DE MANAUS. CELEBRAÇÃO GANHOU TOM HUMANITÁRIO, TENDO EM VISTA A SITUAÇÃO DOS REFUGIADOS VENEZUELANOS</t>
        </is>
      </c>
      <c r="J2177">
        <f>HYPERLINK("https://www.acritica.com/manaus/com-lema-todos-irm-os-e-irm-s-celebrac-o-de-pentecostes-lota-sambodromo-1.187342", "URL")</f>
        <v/>
      </c>
      <c r="K2177">
        <f>HYPERLINK("https://raw.githubusercontent.com/marcosmapl/dataset_imigrantes/main/noticias_filtered/a_critica/venezuelanos/2018/04_mai/html/1.187342_441.html", "HTML")</f>
        <v/>
      </c>
      <c r="L2177">
        <f>HYPERLINK("https://raw.githubusercontent.com/marcosmapl/dataset_imigrantes/main/noticias_filtered/a_critica/venezuelanos/2018/04_mai/txt/1.187342_441.txt", "TXT")</f>
        <v/>
      </c>
    </row>
    <row r="2178">
      <c r="A2178" s="1" t="n">
        <v>2176</v>
      </c>
      <c r="B2178" t="n">
        <v>2018</v>
      </c>
      <c r="C2178" s="2" t="n">
        <v>43240.83229166667</v>
      </c>
      <c r="D2178" t="inlineStr">
        <is>
          <t>A CRITICA</t>
        </is>
      </c>
      <c r="E2178" t="inlineStr">
        <is>
          <t>HAITIANOS</t>
        </is>
      </c>
      <c r="F2178" t="inlineStr">
        <is>
          <t>MANAUS</t>
        </is>
      </c>
      <c r="G2178" t="inlineStr">
        <is>
          <t>JOANA QUEIROZ</t>
        </is>
      </c>
      <c r="H2178" t="inlineStr">
        <is>
          <t>INTERESSADOS EM PROCESSO SELETIVO PARA PEDREIRO FORMAM FILA EM FRENTE À SEMINF</t>
        </is>
      </c>
      <c r="I2178" t="inlineStr">
        <is>
          <t>DESEMPREGADOS COMEÇARAM A CHEGAR NA TARDE DE SÁBADO (19) E AGUARDAM INÍCIO DAS INSCRIÇÕES NESTA SEGUNDA-FEIRA (21). NEM MESMO A CHUVA RETIROU AS PESSOAS DO LOCAL, NA ZONA CENTRO-SUL DE MANAUS</t>
        </is>
      </c>
      <c r="J2178">
        <f>HYPERLINK("https://www.acritica.com/manaus/interessados-em-processo-seletivo-para-pedreiro-formam-fila-em-frente-a-seminf-1.187360", "URL")</f>
        <v/>
      </c>
      <c r="K2178">
        <f>HYPERLINK("https://raw.githubusercontent.com/marcosmapl/dataset_imigrantes/main/noticias_filtered/a_critica/haitianos/2018/04_mai/html/1.187360_787.html", "HTML")</f>
        <v/>
      </c>
      <c r="L2178">
        <f>HYPERLINK("https://raw.githubusercontent.com/marcosmapl/dataset_imigrantes/main/noticias_filtered/a_critica/haitianos/2018/04_mai/txt/1.187360_787.txt", "TXT")</f>
        <v/>
      </c>
    </row>
    <row r="2179">
      <c r="A2179" s="1" t="n">
        <v>2177</v>
      </c>
      <c r="B2179" t="n">
        <v>2018</v>
      </c>
      <c r="C2179" s="2" t="n">
        <v>43239.86045138889</v>
      </c>
      <c r="D2179" t="inlineStr">
        <is>
          <t>A CRITICA</t>
        </is>
      </c>
      <c r="E2179" t="inlineStr">
        <is>
          <t>VENEZUELANOS</t>
        </is>
      </c>
      <c r="F2179" t="inlineStr">
        <is>
          <t>OPINIAO</t>
        </is>
      </c>
      <c r="G2179" t="inlineStr"/>
      <c r="H2179" t="inlineStr">
        <is>
          <t>O  BRASIL E O DRAMA DOS REFUGIADOS</t>
        </is>
      </c>
      <c r="I2179" t="inlineStr"/>
      <c r="J2179">
        <f>HYPERLINK("https://www.acritica.com/opiniao/o-brasil-e-o-drama-dos-refugiados-1.230023", "URL")</f>
        <v/>
      </c>
      <c r="K2179">
        <f>HYPERLINK("https://raw.githubusercontent.com/marcosmapl/dataset_imigrantes/main/noticias_filtered/a_critica/venezuelanos/2018/04_mai/html/1.230023_633.html", "HTML")</f>
        <v/>
      </c>
      <c r="L2179">
        <f>HYPERLINK("https://raw.githubusercontent.com/marcosmapl/dataset_imigrantes/main/noticias_filtered/a_critica/venezuelanos/2018/04_mai/txt/1.230023_633.txt", "TXT")</f>
        <v/>
      </c>
    </row>
    <row r="2180">
      <c r="A2180" s="1" t="n">
        <v>2178</v>
      </c>
      <c r="B2180" t="n">
        <v>2018</v>
      </c>
      <c r="C2180" s="2" t="n">
        <v>43239.0510468287</v>
      </c>
      <c r="D2180" t="inlineStr">
        <is>
          <t>G1</t>
        </is>
      </c>
      <c r="E2180" t="inlineStr">
        <is>
          <t>VENEZUELANOS</t>
        </is>
      </c>
      <c r="F2180" t="inlineStr">
        <is>
          <t>MUNDO</t>
        </is>
      </c>
      <c r="G2180" t="inlineStr">
        <is>
          <t>BBC</t>
        </is>
      </c>
      <c r="H2180" t="inlineStr">
        <is>
          <t>'QUERO MINHA REVOLUÇÃO! COM ELA NASCI E COM ELA MORRO': O QUE PENSAM OS CHAVISTAS QUE VÃO VOTAR EM MADURO NAS ELEIÇÕES VENEZUELANAS</t>
        </is>
      </c>
      <c r="I2180" t="inlineStr">
        <is>
          <t>APESAR DA GRAVE CRISE POLÍTICA, ECONÔMICA E HUMANITÁRIA QUE TOMA CONTA DA VENEZUELA, NICOLÁS MADURO TEM UM SÉQUITO DE MILHARES DE PESSOAS DISPOSTAS A REELEGÊ-LO PRESIDENTE NAS ELEIÇÕES DE DOMINGO.</t>
        </is>
      </c>
      <c r="J2180">
        <f>HYPERLINK("https://g1.globo.com/mundo/noticia/quero-minha-revolucao-com-ela-nasci-e-com-ela-morro-o-que-pensam-os-chavistas-que-vao-votar-em-maduro-nas-eleicoes-venezuelanas.ghtml", "URL")</f>
        <v/>
      </c>
      <c r="K2180">
        <f>HYPERLINK("https://raw.githubusercontent.com/marcosmapl/dataset_imigrantes/main/noticias_filtered/g1/venezuelanos/2018/04_mai/html/g1_d1d2fb6c-230e-11ed-b24f-6dbe51e79fca_2759.html", "HTML")</f>
        <v/>
      </c>
      <c r="L2180">
        <f>HYPERLINK("https://raw.githubusercontent.com/marcosmapl/dataset_imigrantes/main/noticias_filtered/g1/venezuelanos/2018/04_mai/txt/g1_d1d2fb6c-230e-11ed-b24f-6dbe51e79fca_2759.txt", "TXT")</f>
        <v/>
      </c>
    </row>
    <row r="2181">
      <c r="A2181" s="1" t="n">
        <v>2179</v>
      </c>
      <c r="B2181" t="n">
        <v>2018</v>
      </c>
      <c r="C2181" s="2" t="n">
        <v>43235.65208333333</v>
      </c>
      <c r="D2181" t="inlineStr">
        <is>
          <t>A CRITICA</t>
        </is>
      </c>
      <c r="E2181" t="inlineStr">
        <is>
          <t>VENEZUELANOS</t>
        </is>
      </c>
      <c r="F2181" t="inlineStr">
        <is>
          <t>MANAUS</t>
        </is>
      </c>
      <c r="G2181" t="inlineStr">
        <is>
          <t>ALIK MENEZES</t>
        </is>
      </c>
      <c r="H2181" t="inlineStr">
        <is>
          <t>ARQUIDIOCESE DE MANAUS REALIZA FESTA DE PENTECOSTES NO DOMINGO (20)</t>
        </is>
      </c>
      <c r="I2181" t="inlineStr">
        <is>
          <t>TEMA ESCOLHIDO É "NA FORÇA DO ESPÍRITO, TODOS IRMÃOS E IRMÃS". TRADICIONAL EVENTO CATÓLICO ACONTECE NO SAMBÓDROMO, A PARTIR DAS 17H</t>
        </is>
      </c>
      <c r="J2181">
        <f>HYPERLINK("https://www.acritica.com/manaus/arquidiocese-de-manaus-realiza-festa-de-pentecostes-no-domingo-20-1.186647", "URL")</f>
        <v/>
      </c>
      <c r="K2181">
        <f>HYPERLINK("https://raw.githubusercontent.com/marcosmapl/dataset_imigrantes/main/noticias_filtered/a_critica/venezuelanos/2018/04_mai/html/1.186647_700.html", "HTML")</f>
        <v/>
      </c>
      <c r="L2181">
        <f>HYPERLINK("https://raw.githubusercontent.com/marcosmapl/dataset_imigrantes/main/noticias_filtered/a_critica/venezuelanos/2018/04_mai/txt/1.186647_700.txt", "TXT")</f>
        <v/>
      </c>
    </row>
    <row r="2182">
      <c r="A2182" s="1" t="n">
        <v>2180</v>
      </c>
      <c r="B2182" t="n">
        <v>2018</v>
      </c>
      <c r="C2182" s="2" t="n">
        <v>43235.45416666667</v>
      </c>
      <c r="D2182" t="inlineStr">
        <is>
          <t>PORTAL AMAZONIA</t>
        </is>
      </c>
      <c r="E2182" t="inlineStr">
        <is>
          <t>VENEZUELANOS</t>
        </is>
      </c>
      <c r="F2182" t="inlineStr">
        <is>
          <t>CIDADES</t>
        </is>
      </c>
      <c r="G2182" t="inlineStr">
        <is>
          <t>REDAÇÃO</t>
        </is>
      </c>
      <c r="H2182" t="inlineStr">
        <is>
          <t>11% DOS BEBÊS NASCIDOS EM BOA VISTA ESTE ANO SÃO FILHOS DE VENEZUELANAS</t>
        </is>
      </c>
      <c r="I2182" t="inlineStr">
        <is>
          <t>FORAM 253 NASCIMENTOS DE FILHOS DE VENEZUELANOS NA CAPITAL RORAIMENSE SÓ NOS TRÊS PRIMEIROS MESES DE 2018. O NÚMERO JÁ É QUASE METADE DOS NASCIDOS ANO PASSADO NA MESMA SITUAÇÃO: QUANDO FORAM REGISTRADOS 566 NASCIMENTOS DE CRIANÇAS FILHAS DE MULHERES</t>
        </is>
      </c>
      <c r="J2182">
        <f>HYPERLINK("https://portalamazonia.com/noticias/cidades/11-dos-bebes-nascidos-em-boa-vista-este-ano-sao-filhos-de-venezuelanas", "URL")</f>
        <v/>
      </c>
      <c r="K2182">
        <f>HYPERLINK("https://raw.githubusercontent.com/marcosmapl/dataset_imigrantes/main/noticias_filtered/portal_amazonia/venezuelanos/2018/04_mai/html/13852.13852_1619.html", "HTML")</f>
        <v/>
      </c>
      <c r="L2182">
        <f>HYPERLINK("https://raw.githubusercontent.com/marcosmapl/dataset_imigrantes/main/noticias_filtered/portal_amazonia/venezuelanos/2018/04_mai/txt/13852.13852_1619.txt", "TXT")</f>
        <v/>
      </c>
    </row>
    <row r="2183">
      <c r="A2183" s="1" t="n">
        <v>2181</v>
      </c>
      <c r="B2183" t="n">
        <v>2018</v>
      </c>
      <c r="C2183" s="2" t="n">
        <v>43234.95980395834</v>
      </c>
      <c r="D2183" t="inlineStr">
        <is>
          <t>G1</t>
        </is>
      </c>
      <c r="E2183" t="inlineStr">
        <is>
          <t>VENEZUELANOS</t>
        </is>
      </c>
      <c r="F2183" t="inlineStr">
        <is>
          <t>RORAIMA</t>
        </is>
      </c>
      <c r="G2183" t="inlineStr">
        <is>
          <t>JACKSON FÉLIX, G1 RR</t>
        </is>
      </c>
      <c r="H2183" t="inlineStr">
        <is>
          <t>MINISTRO DA SAÚDE ANUNCIA REPASSE DE R$ 28 MILHÕES PARA RORAIMA LIDAR COM IMIGRAÇÃO VENEZUELANA</t>
        </is>
      </c>
      <c r="I2183" t="inlineStr">
        <is>
          <t>MINISTRO GILBERTO OCCHI  ESTEVE NESTA SEGUNDA-FEIRA (14) EM BOA VISTA E PACARAIMA, CIDADE NA FRONTEIRA COM A VENEZUELA.</t>
        </is>
      </c>
      <c r="J2183">
        <f>HYPERLINK("https://g1.globo.com/rr/roraima/noticia/ministro-da-saude-anuncia-repasse-de-r-28-milhoes-para-roraima-lidar-com-imigracao-venezuelana.ghtml", "URL")</f>
        <v/>
      </c>
      <c r="K2183">
        <f>HYPERLINK("https://raw.githubusercontent.com/marcosmapl/dataset_imigrantes/main/noticias_filtered/g1/venezuelanos/2018/04_mai/html/g1_dcc2475a-2325-11ed-b24f-6dbe51e79fca_3938.html", "HTML")</f>
        <v/>
      </c>
      <c r="L2183">
        <f>HYPERLINK("https://raw.githubusercontent.com/marcosmapl/dataset_imigrantes/main/noticias_filtered/g1/venezuelanos/2018/04_mai/txt/g1_dcc2475a-2325-11ed-b24f-6dbe51e79fca_3938.txt", "TXT")</f>
        <v/>
      </c>
    </row>
    <row r="2184">
      <c r="A2184" s="1" t="n">
        <v>2182</v>
      </c>
      <c r="B2184" t="n">
        <v>2018</v>
      </c>
      <c r="C2184" s="2" t="n">
        <v>43232.41698587963</v>
      </c>
      <c r="D2184" t="inlineStr">
        <is>
          <t>G1</t>
        </is>
      </c>
      <c r="E2184" t="inlineStr">
        <is>
          <t>VENEZUELANOS</t>
        </is>
      </c>
      <c r="F2184" t="inlineStr">
        <is>
          <t>SÃO PAULO</t>
        </is>
      </c>
      <c r="G2184" t="inlineStr">
        <is>
          <t>RAFAELA PUTINI*, G1 SP — SÃO PAULO</t>
        </is>
      </c>
      <c r="H2184" t="inlineStr">
        <is>
          <t>VENEZUELANA QUE DEU À LUZ LOGO APÓS CRUZAR FRONTEIRA COM O BRASIL PASSA O 1º DIA DAS MÃES EM SP</t>
        </is>
      </c>
      <c r="I2184" t="inlineStr">
        <is>
          <t>HÁ UM MÊS NA CIDADE, ELA E COMPATRIOTA FALAM SOBRE MATERNIDADE, EXPERIÊNCIAS DA IMIGRAÇÃO E SONHOS.</t>
        </is>
      </c>
      <c r="J2184">
        <f>HYPERLINK("https://g1.globo.com/sp/sao-paulo/noticia/venezuelana-que-deu-a-luz-logo-apos-cruzar-fronteira-com-o-brasil-passa-o-1-dia-das-maes-em-sp.ghtml", "URL")</f>
        <v/>
      </c>
      <c r="K2184">
        <f>HYPERLINK("https://raw.githubusercontent.com/marcosmapl/dataset_imigrantes/main/noticias_filtered/g1/venezuelanos/2018/04_mai/html/g1_556f76c2-232c-11ed-b24f-6dbe51e79fca_4298.html", "HTML")</f>
        <v/>
      </c>
      <c r="L2184">
        <f>HYPERLINK("https://raw.githubusercontent.com/marcosmapl/dataset_imigrantes/main/noticias_filtered/g1/venezuelanos/2018/04_mai/txt/g1_556f76c2-232c-11ed-b24f-6dbe51e79fca_4298.txt", "TXT")</f>
        <v/>
      </c>
    </row>
    <row r="2185">
      <c r="A2185" s="1" t="n">
        <v>2183</v>
      </c>
      <c r="B2185" t="n">
        <v>2018</v>
      </c>
      <c r="C2185" s="2" t="n">
        <v>43231.04097222222</v>
      </c>
      <c r="D2185" t="inlineStr">
        <is>
          <t>A CRITICA</t>
        </is>
      </c>
      <c r="E2185" t="inlineStr">
        <is>
          <t>VENEZUELANOS</t>
        </is>
      </c>
      <c r="F2185" t="inlineStr">
        <is>
          <t>AMAZONIA</t>
        </is>
      </c>
      <c r="G2185" t="inlineStr">
        <is>
          <t>SILANE SOUZA</t>
        </is>
      </c>
      <c r="H2185" t="inlineStr">
        <is>
          <t>PESQUISADORES DEFENDEM MAIS INVESTIMENTO EM CIÊNCIA PARA SALVAR A AMAZÔNIA</t>
        </is>
      </c>
      <c r="I2185" t="inlineStr">
        <is>
          <t>EX-MINISTRO RUBENS RICUPERO FALOU EM SEMINÁRIO SOBRE A IMPORTÂNCIA DO CONHECIMENTO HUMANO E MECANISMO NOS MOLDES DO IPCC PARA DEBATER A REGIÃO</t>
        </is>
      </c>
      <c r="J2185">
        <f>HYPERLINK("https://www.acritica.com/amazonia/pesquisadores-defendem-mais-investimento-em-ciencia-para-salvar-a-amazonia-1.186133", "URL")</f>
        <v/>
      </c>
      <c r="K2185">
        <f>HYPERLINK("https://raw.githubusercontent.com/marcosmapl/dataset_imigrantes/main/noticias_filtered/a_critica/venezuelanos/2018/04_mai/html/1.186133_170.html", "HTML")</f>
        <v/>
      </c>
      <c r="L2185">
        <f>HYPERLINK("https://raw.githubusercontent.com/marcosmapl/dataset_imigrantes/main/noticias_filtered/a_critica/venezuelanos/2018/04_mai/txt/1.186133_170.txt", "TXT")</f>
        <v/>
      </c>
    </row>
    <row r="2186">
      <c r="A2186" s="1" t="n">
        <v>2184</v>
      </c>
      <c r="B2186" t="n">
        <v>2018</v>
      </c>
      <c r="C2186" s="2" t="n">
        <v>43230.91490740741</v>
      </c>
      <c r="D2186" t="inlineStr">
        <is>
          <t>A CRITICA</t>
        </is>
      </c>
      <c r="E2186" t="inlineStr">
        <is>
          <t>VENEZUELANOS</t>
        </is>
      </c>
      <c r="F2186" t="inlineStr">
        <is>
          <t>MANAUS</t>
        </is>
      </c>
      <c r="G2186" t="inlineStr">
        <is>
          <t>ACRITICA.COM*</t>
        </is>
      </c>
      <c r="H2186" t="inlineStr">
        <is>
          <t>MANAUS VAI RECEBER MAIS 200 IMIGRANTES VENEZUELANOS EM ABRIGO NO COROADO</t>
        </is>
      </c>
      <c r="I2186" t="inlineStr">
        <is>
          <t>GOVERNO FEDERAL DEVE REPASSAR R$ 20 MIL POR MÊS À PREFEITURA POR ACOLHER OS VENEZUELANOS VINDOS DE BOA VISTA (RR)</t>
        </is>
      </c>
      <c r="J2186">
        <f>HYPERLINK("https://www.acritica.com/manaus/manaus-vai-receber-mais-200-imigrantes-venezuelanos-em-abrigo-no-coroado-1.185903", "URL")</f>
        <v/>
      </c>
      <c r="K2186">
        <f>HYPERLINK("https://raw.githubusercontent.com/marcosmapl/dataset_imigrantes/main/noticias_filtered/a_critica/venezuelanos/2018/04_mai/html/1.185903_1309.html", "HTML")</f>
        <v/>
      </c>
      <c r="L2186">
        <f>HYPERLINK("https://raw.githubusercontent.com/marcosmapl/dataset_imigrantes/main/noticias_filtered/a_critica/venezuelanos/2018/04_mai/txt/1.185903_1309.txt", "TXT")</f>
        <v/>
      </c>
    </row>
    <row r="2187">
      <c r="A2187" s="1" t="n">
        <v>2185</v>
      </c>
      <c r="B2187" t="n">
        <v>2018</v>
      </c>
      <c r="C2187" s="2" t="n">
        <v>43229.87152777778</v>
      </c>
      <c r="D2187" t="inlineStr">
        <is>
          <t>A CRITICA</t>
        </is>
      </c>
      <c r="E2187" t="inlineStr">
        <is>
          <t>VENEZUELANOS</t>
        </is>
      </c>
      <c r="F2187" t="inlineStr">
        <is>
          <t>MANAUS</t>
        </is>
      </c>
      <c r="G2187" t="inlineStr">
        <is>
          <t>VITOR GAVIRATI</t>
        </is>
      </c>
      <c r="H2187" t="inlineStr">
        <is>
          <t>SUSPEITAS DE SARAMPO EM MANAUS SÃO 15,8% MAIOR DO QUE EM TODO O ESTADO DE RORAIMA</t>
        </is>
      </c>
      <c r="I2187" t="inlineStr">
        <is>
          <t>RORAIMA FOI O ESTADO EM QUE OS PRIMEIROS CASOS APARECERAM NO NOVO "SURTO" BRASILEIRO DA DOENÇA</t>
        </is>
      </c>
      <c r="J2187">
        <f>HYPERLINK("https://www.acritica.com/manaus/suspeitas-de-sarampo-em-manaus-s-o-15-8-maior-do-que-em-todo-o-estado-de-roraima-1.186001", "URL")</f>
        <v/>
      </c>
      <c r="K2187">
        <f>HYPERLINK("https://raw.githubusercontent.com/marcosmapl/dataset_imigrantes/main/noticias_filtered/a_critica/venezuelanos/2018/04_mai/html/1.186001_818.html", "HTML")</f>
        <v/>
      </c>
      <c r="L2187">
        <f>HYPERLINK("https://raw.githubusercontent.com/marcosmapl/dataset_imigrantes/main/noticias_filtered/a_critica/venezuelanos/2018/04_mai/txt/1.186001_818.txt", "TXT")</f>
        <v/>
      </c>
    </row>
    <row r="2188">
      <c r="A2188" s="1" t="n">
        <v>2186</v>
      </c>
      <c r="B2188" t="n">
        <v>2018</v>
      </c>
      <c r="C2188" s="2" t="n">
        <v>43229.79236111111</v>
      </c>
      <c r="D2188" t="inlineStr">
        <is>
          <t>PORTAL AMAZONIA</t>
        </is>
      </c>
      <c r="E2188" t="inlineStr">
        <is>
          <t>VENEZUELANOS</t>
        </is>
      </c>
      <c r="F2188" t="inlineStr">
        <is>
          <t>CIDADES</t>
        </is>
      </c>
      <c r="G2188" t="inlineStr">
        <is>
          <t>REDAÇÃO</t>
        </is>
      </c>
      <c r="H2188" t="inlineStr">
        <is>
          <t>PREFEITURA DE MANAUS AFIRMA QUE VAI ACOLHER MAIS 200 IMIGRANTES VENEZUELANOS</t>
        </is>
      </c>
      <c r="I2188" t="inlineStr">
        <is>
          <t>MANAUS (AM) ABRIGA OFICIALMENTE 336 IMIGRANTES VENEZUELANOS. ESSES NÚMEROS SÃO REFERENTES AOS 172 INDÍGENAS DA ETNIA WARAO E 164 IMIGRANTES QUE CHEGARAM NA ÚLTIMA SEXTA-FEIRA (4) NA CAPITAL, VINDOS DE BOA VISTA, RORAIMA. A PREFEITURA JÁ AFIRMOU QUE O</t>
        </is>
      </c>
      <c r="J2188">
        <f>HYPERLINK("https://portalamazonia.com/noticias/cidades/prefeitura-de-manaus-afirma-que-vai-acolher-mais-200-imigrantes-venezuelanos", "URL")</f>
        <v/>
      </c>
      <c r="K2188">
        <f>HYPERLINK("https://raw.githubusercontent.com/marcosmapl/dataset_imigrantes/main/noticias_filtered/portal_amazonia/venezuelanos/2018/04_mai/html/13738.25550_1576.html", "HTML")</f>
        <v/>
      </c>
      <c r="L2188">
        <f>HYPERLINK("https://raw.githubusercontent.com/marcosmapl/dataset_imigrantes/main/noticias_filtered/portal_amazonia/venezuelanos/2018/04_mai/txt/13738.25550_1576.txt", "TXT")</f>
        <v/>
      </c>
    </row>
    <row r="2189">
      <c r="A2189" s="1" t="n">
        <v>2187</v>
      </c>
      <c r="B2189" t="n">
        <v>2018</v>
      </c>
      <c r="C2189" s="2" t="n">
        <v>43229.04866055556</v>
      </c>
      <c r="D2189" t="inlineStr">
        <is>
          <t>G1</t>
        </is>
      </c>
      <c r="E2189" t="inlineStr">
        <is>
          <t>VENEZUELANOS</t>
        </is>
      </c>
      <c r="F2189" t="inlineStr">
        <is>
          <t>RORAIMA</t>
        </is>
      </c>
      <c r="G2189" t="inlineStr">
        <is>
          <t>G1 RR</t>
        </is>
      </c>
      <c r="H2189" t="inlineStr">
        <is>
          <t>VENEZUELANO ESFAQUEIA OUTRO DURANTE DISCUSSÃO EM BOA VISTA</t>
        </is>
      </c>
      <c r="I2189" t="inlineStr">
        <is>
          <t>SUSPEITO DISSE QUE AGREDIU VÍTIMA PORQUE ELA FALOU MAL DELE.</t>
        </is>
      </c>
      <c r="J2189">
        <f>HYPERLINK("https://g1.globo.com/rr/roraima/noticia/venezuelano-esfaqueia-outro-durante-discussao-em-boa-vista.ghtml", "URL")</f>
        <v/>
      </c>
      <c r="K2189">
        <f>HYPERLINK("https://raw.githubusercontent.com/marcosmapl/dataset_imigrantes/main/noticias_filtered/g1/venezuelanos/2018/04_mai/html/g1_1345a0aa-232c-11ed-b24f-6dbe51e79fca_4284.html", "HTML")</f>
        <v/>
      </c>
      <c r="L2189">
        <f>HYPERLINK("https://raw.githubusercontent.com/marcosmapl/dataset_imigrantes/main/noticias_filtered/g1/venezuelanos/2018/04_mai/txt/g1_1345a0aa-232c-11ed-b24f-6dbe51e79fca_4284.txt", "TXT")</f>
        <v/>
      </c>
    </row>
    <row r="2190">
      <c r="A2190" s="1" t="n">
        <v>2188</v>
      </c>
      <c r="B2190" t="n">
        <v>2018</v>
      </c>
      <c r="C2190" s="2" t="n">
        <v>43228.56180555555</v>
      </c>
      <c r="D2190" t="inlineStr">
        <is>
          <t>PORTAL AMAZONIA</t>
        </is>
      </c>
      <c r="E2190" t="inlineStr">
        <is>
          <t>VENEZUELANOS</t>
        </is>
      </c>
      <c r="F2190" t="inlineStr">
        <is>
          <t>CIDADES</t>
        </is>
      </c>
      <c r="G2190" t="inlineStr">
        <is>
          <t>REDAÇÃO</t>
        </is>
      </c>
      <c r="H2190" t="inlineStr">
        <is>
          <t>GOVERNO VAI CONSTRUIR QUATRO NOVOS ABRIGOS PARA VENEZUELANOS EM RORAIMA</t>
        </is>
      </c>
      <c r="I2190" t="inlineStr">
        <is>
          <t>A FORÇA-TAREFA LOGÍSTICA E HUMANITÁRIA QUE ATUA EM RORAIMA TERÁ O DESAFIO, ESTA SEMANA, DE CONSTRUIR QUATRO NOVOS ABRIGOS NO ESTADO. TRÊS EM BOA VISTA E UM EM PACARAIMA. CADA ABRIGO PODERÁ RECEBER ATÉ 500 PESSOAS. DE ACORDO COM A ASSESSORIA DE COMUNI</t>
        </is>
      </c>
      <c r="J2190">
        <f>HYPERLINK("https://portalamazonia.com/noticias/cidades/governo-vai-construir-quatro-novos-abrigos-para-venezuelanos-em-roraima", "URL")</f>
        <v/>
      </c>
      <c r="K2190">
        <f>HYPERLINK("https://raw.githubusercontent.com/marcosmapl/dataset_imigrantes/main/noticias_filtered/portal_amazonia/venezuelanos/2018/04_mai/html/13690.13690_1590.html", "HTML")</f>
        <v/>
      </c>
      <c r="L2190">
        <f>HYPERLINK("https://raw.githubusercontent.com/marcosmapl/dataset_imigrantes/main/noticias_filtered/portal_amazonia/venezuelanos/2018/04_mai/txt/13690.13690_1590.txt", "TXT")</f>
        <v/>
      </c>
    </row>
    <row r="2191">
      <c r="A2191" s="1" t="n">
        <v>2189</v>
      </c>
      <c r="B2191" t="n">
        <v>2018</v>
      </c>
      <c r="C2191" s="2" t="n">
        <v>43228.54027777778</v>
      </c>
      <c r="D2191" t="inlineStr">
        <is>
          <t>PORTAL AMAZONIA</t>
        </is>
      </c>
      <c r="E2191" t="inlineStr">
        <is>
          <t>VENEZUELANOS</t>
        </is>
      </c>
      <c r="F2191" t="inlineStr">
        <is>
          <t>CIDADES</t>
        </is>
      </c>
      <c r="G2191" t="inlineStr">
        <is>
          <t>REDAÇÃO</t>
        </is>
      </c>
      <c r="H2191" t="inlineStr">
        <is>
          <t>CASA DE ACOLHIDA RECEBE MAIS DE 100 VENEZUELANOS EM MANAUS</t>
        </is>
      </c>
      <c r="I2191" t="inlineStr">
        <is>
          <t>A CASA DE ACOLHIDA SANTA CATARINA DE SENA, EM MANAUS (AM), É UM DOS TRÊS ABRIGOS PARA ONDE FORAM ENCAMINHADOS 164 IMIGRANTES VENEZUELANOS QUE CHEGARAM A CAPITAL  NA SEXTA-FEIRA (4). ESPAÇO É MANTIDO PELA CÁRITAS DA ARQUIDIOCESE E PELA AGÊNCIA DA</t>
        </is>
      </c>
      <c r="J2191">
        <f>HYPERLINK("https://portalamazonia.com/noticias/cidades/casa-de-acolhida-recebe-mais-de-100-venezuelanos-em-manaus", "URL")</f>
        <v/>
      </c>
      <c r="K2191">
        <f>HYPERLINK("https://raw.githubusercontent.com/marcosmapl/dataset_imigrantes/main/noticias_filtered/portal_amazonia/venezuelanos/2018/04_mai/html/13686.25557_1502.html", "HTML")</f>
        <v/>
      </c>
      <c r="L2191">
        <f>HYPERLINK("https://raw.githubusercontent.com/marcosmapl/dataset_imigrantes/main/noticias_filtered/portal_amazonia/venezuelanos/2018/04_mai/txt/13686.25557_1502.txt", "TXT")</f>
        <v/>
      </c>
    </row>
    <row r="2192">
      <c r="A2192" s="1" t="n">
        <v>2190</v>
      </c>
      <c r="B2192" t="n">
        <v>2018</v>
      </c>
      <c r="C2192" s="2" t="n">
        <v>43227.69722222222</v>
      </c>
      <c r="D2192" t="inlineStr">
        <is>
          <t>A CRITICA</t>
        </is>
      </c>
      <c r="E2192" t="inlineStr">
        <is>
          <t>VENEZUELANOS</t>
        </is>
      </c>
      <c r="F2192" t="inlineStr">
        <is>
          <t>OPINIAO</t>
        </is>
      </c>
      <c r="G2192" t="inlineStr">
        <is>
          <t>BEM VIVER BLOG</t>
        </is>
      </c>
      <c r="H2192" t="inlineStr">
        <is>
          <t>CINCO PRODUÇÕES QUE ABORDAM A MATERNIDADE</t>
        </is>
      </c>
      <c r="I2192" t="inlineStr">
        <is>
          <t>NA SEMANA DAS MÃES, O BEM VIVER DESTACA ALGUNS FILMES E SÉRIE QUE EXALTAM A RELAÇÃO ENTRE ELAS E OS FILHOS</t>
        </is>
      </c>
      <c r="J2192">
        <f>HYPERLINK("https://www.acritica.com/opiniao/cinco-produc-es-que-abordam-a-maternidade-1.217102", "URL")</f>
        <v/>
      </c>
      <c r="K2192">
        <f>HYPERLINK("https://raw.githubusercontent.com/marcosmapl/dataset_imigrantes/main/noticias_filtered/a_critica/venezuelanos/2018/04_mai/html/1.217102_480.html", "HTML")</f>
        <v/>
      </c>
      <c r="L2192">
        <f>HYPERLINK("https://raw.githubusercontent.com/marcosmapl/dataset_imigrantes/main/noticias_filtered/a_critica/venezuelanos/2018/04_mai/txt/1.217102_480.txt", "TXT")</f>
        <v/>
      </c>
    </row>
    <row r="2193">
      <c r="A2193" s="1" t="n">
        <v>2191</v>
      </c>
      <c r="B2193" t="n">
        <v>2018</v>
      </c>
      <c r="C2193" s="2" t="n">
        <v>43227.54305555556</v>
      </c>
      <c r="D2193" t="inlineStr">
        <is>
          <t>PORTAL AMAZONIA</t>
        </is>
      </c>
      <c r="E2193" t="inlineStr">
        <is>
          <t>VENEZUELANOS</t>
        </is>
      </c>
      <c r="F2193" t="inlineStr">
        <is>
          <t>CIDADES</t>
        </is>
      </c>
      <c r="G2193" t="inlineStr">
        <is>
          <t>REDAÇÃO</t>
        </is>
      </c>
      <c r="H2193" t="inlineStr">
        <is>
          <t>EM BOA VISTA, 871 VENEZUELANOS SÃO LEVADOS DE PRAÇA PARA ABRIGOS</t>
        </is>
      </c>
      <c r="I2193" t="inlineStr">
        <is>
          <t>MILITARES DO EXÉRCITO LEVARAM 871 VENEZUELANOS QUE ESTAVAM ACAMPADOS NA PRAÇA SIMÓN BOLÍVAR, EM BOA VISTA, PARA DOIS ABRIGOS MONTADOS TEMPORARIAMENTE NA CIDADE, SEGUNDO INFORMAÇÕES DIVULGADAS PELA CASA CIVIL DA PRESIDÊNCIA DA REPÚBLICA. A AÇÃO TEVE A</t>
        </is>
      </c>
      <c r="J2193">
        <f>HYPERLINK("https://portalamazonia.com/noticias/cidades/em-boa-vista-871-venezuelanos-sao-levados-de-praca-para-abrigos", "URL")</f>
        <v/>
      </c>
      <c r="K2193">
        <f>HYPERLINK("https://raw.githubusercontent.com/marcosmapl/dataset_imigrantes/main/noticias_filtered/portal_amazonia/venezuelanos/2018/04_mai/html/13654.13654_1411.html", "HTML")</f>
        <v/>
      </c>
      <c r="L2193">
        <f>HYPERLINK("https://raw.githubusercontent.com/marcosmapl/dataset_imigrantes/main/noticias_filtered/portal_amazonia/venezuelanos/2018/04_mai/txt/13654.13654_1411.txt", "TXT")</f>
        <v/>
      </c>
    </row>
    <row r="2194">
      <c r="A2194" s="1" t="n">
        <v>2192</v>
      </c>
      <c r="B2194" t="n">
        <v>2018</v>
      </c>
      <c r="C2194" s="2" t="n">
        <v>43227.48680555556</v>
      </c>
      <c r="D2194" t="inlineStr">
        <is>
          <t>A CRITICA</t>
        </is>
      </c>
      <c r="E2194" t="inlineStr">
        <is>
          <t>VENEZUELANOS</t>
        </is>
      </c>
      <c r="F2194" t="inlineStr">
        <is>
          <t>MANAUS</t>
        </is>
      </c>
      <c r="G2194" t="inlineStr">
        <is>
          <t>PAULO ANDRÉ NUNES</t>
        </is>
      </c>
      <c r="H2194" t="inlineStr">
        <is>
          <t>PARQUE DO PROSAMIM SOFRE COM MATAGAL, VANDALISMO E INSEGURANÇA NO CENTRO</t>
        </is>
      </c>
      <c r="I2194" t="inlineStr">
        <is>
          <t>MORADORES DENUNCIARAM PROBLEMAS EM ÁREA QUE SERIA DE REQUALIFICAÇÃO URBANÍSTICA E DE RECUPERAÇÃO AMBIENTAL. GOVERNO INFORMOU QUE MAIS DE R$ 8 MILHÕES SERÃO INVESTIDOS EM REFORMAS DE PARQUES</t>
        </is>
      </c>
      <c r="J2194">
        <f>HYPERLINK("https://www.acritica.com/manaus/parque-do-prosamim-sofre-com-matagal-vandalismo-e-inseguranca-no-centro-1.185526", "URL")</f>
        <v/>
      </c>
      <c r="K2194">
        <f>HYPERLINK("https://raw.githubusercontent.com/marcosmapl/dataset_imigrantes/main/noticias_filtered/a_critica/venezuelanos/2018/04_mai/html/1.185526_1314.html", "HTML")</f>
        <v/>
      </c>
      <c r="L2194">
        <f>HYPERLINK("https://raw.githubusercontent.com/marcosmapl/dataset_imigrantes/main/noticias_filtered/a_critica/venezuelanos/2018/04_mai/txt/1.185526_1314.txt", "TXT")</f>
        <v/>
      </c>
    </row>
    <row r="2195">
      <c r="A2195" s="1" t="n">
        <v>2193</v>
      </c>
      <c r="B2195" t="n">
        <v>2018</v>
      </c>
      <c r="C2195" s="2" t="n">
        <v>43224.6625</v>
      </c>
      <c r="D2195" t="inlineStr">
        <is>
          <t>A CRITICA</t>
        </is>
      </c>
      <c r="E2195" t="inlineStr">
        <is>
          <t>VENEZUELANOS</t>
        </is>
      </c>
      <c r="F2195" t="inlineStr">
        <is>
          <t>MANAUS</t>
        </is>
      </c>
      <c r="G2195" t="inlineStr">
        <is>
          <t>ACRÍTICA.COM</t>
        </is>
      </c>
      <c r="H2195" t="inlineStr">
        <is>
          <t>GRUPO DE 165 VENEZUELANOS DESEMBARCA EM MANAUS PARA RECEBER ACOLHIMENTO E APOIO</t>
        </is>
      </c>
      <c r="I2195" t="inlineStr">
        <is>
          <t>A INICIATIVA BUSCA AJUDAR OS IMIGRANTES A PROCURAR UM LOCAL PARA VIVER E NOVAS OPORTUNIDADES DE EDUCAÇÃO E TRABALHO NO BRASIL</t>
        </is>
      </c>
      <c r="J2195">
        <f>HYPERLINK("https://www.acritica.com/manaus/grupo-de-165-venezuelanos-desembarca-em-manaus-para-receber-acolhimento-e-apoio-1.185397", "URL")</f>
        <v/>
      </c>
      <c r="K2195">
        <f>HYPERLINK("https://raw.githubusercontent.com/marcosmapl/dataset_imigrantes/main/noticias_filtered/a_critica/venezuelanos/2018/04_mai/html/1.185397_994.html", "HTML")</f>
        <v/>
      </c>
      <c r="L2195">
        <f>HYPERLINK("https://raw.githubusercontent.com/marcosmapl/dataset_imigrantes/main/noticias_filtered/a_critica/venezuelanos/2018/04_mai/txt/1.185397_994.txt", "TXT")</f>
        <v/>
      </c>
    </row>
    <row r="2196">
      <c r="A2196" s="1" t="n">
        <v>2194</v>
      </c>
      <c r="B2196" t="n">
        <v>2018</v>
      </c>
      <c r="C2196" s="2" t="n">
        <v>43223.76736111111</v>
      </c>
      <c r="D2196" t="inlineStr">
        <is>
          <t>A CRITICA</t>
        </is>
      </c>
      <c r="E2196" t="inlineStr">
        <is>
          <t>VENEZUELANOS</t>
        </is>
      </c>
      <c r="F2196" t="inlineStr">
        <is>
          <t>MANAUS</t>
        </is>
      </c>
      <c r="G2196" t="inlineStr">
        <is>
          <t>ACRÍTICA.COM</t>
        </is>
      </c>
      <c r="H2196" t="inlineStr">
        <is>
          <t>MAIS DE 160 VENEZUELANOS DESEMBARCAM EM MANAUS NESTA SEXTA (4) PARA ACOLHIMENTO</t>
        </is>
      </c>
      <c r="I2196" t="inlineStr">
        <is>
          <t>A MEDIDA, TOMADA PELO GOVERNO FEDERAL, TEM OBJETIVO DE AJUDAR OS IMIGRANTES A PROCURAREM OPORTUNIDADES NO PAÍS</t>
        </is>
      </c>
      <c r="J2196">
        <f>HYPERLINK("https://www.acritica.com/manaus/mais-de-160-venezuelanos-desembarcam-em-manaus-nesta-sexta-4-para-acolhimento-1.185459", "URL")</f>
        <v/>
      </c>
      <c r="K2196">
        <f>HYPERLINK("https://raw.githubusercontent.com/marcosmapl/dataset_imigrantes/main/noticias_filtered/a_critica/venezuelanos/2018/04_mai/html/1.185459_1336.html", "HTML")</f>
        <v/>
      </c>
      <c r="L2196">
        <f>HYPERLINK("https://raw.githubusercontent.com/marcosmapl/dataset_imigrantes/main/noticias_filtered/a_critica/venezuelanos/2018/04_mai/txt/1.185459_1336.txt", "TXT")</f>
        <v/>
      </c>
    </row>
    <row r="2197">
      <c r="A2197" s="1" t="n">
        <v>2195</v>
      </c>
      <c r="B2197" t="n">
        <v>2018</v>
      </c>
      <c r="C2197" s="2" t="n">
        <v>43223.59164506944</v>
      </c>
      <c r="D2197" t="inlineStr">
        <is>
          <t>G1</t>
        </is>
      </c>
      <c r="E2197" t="inlineStr">
        <is>
          <t>HAITIANOS</t>
        </is>
      </c>
      <c r="F2197" t="inlineStr">
        <is>
          <t>MATO GROSSO</t>
        </is>
      </c>
      <c r="G2197" t="inlineStr">
        <is>
          <t>G1 MT</t>
        </is>
      </c>
      <c r="H2197" t="inlineStr">
        <is>
          <t>AMIGO ARRECADA DOAÇÕES PARA AJUDAR FAMÍLIA DE HAITIANO QUE MORREU EM ACIDENTE AUTOMOBILÍSTICO EM MT</t>
        </is>
      </c>
      <c r="I2197" t="inlineStr">
        <is>
          <t>MULHER DE UNIVERSITÁRIO HAITIANO ESTÁ DECIDINDO SE CONTINUA NO BRASIL OU SE RETORNA AO PAÍS DE ORIGEM COM O FILHO DE 1 ANO, APÓS A MORTE DO MARIDO.</t>
        </is>
      </c>
      <c r="J2197">
        <f>HYPERLINK("https://g1.globo.com/mt/mato-grosso/noticia/amigo-arrecada-doacoes-para-ajudar-familia-de-haitiano-que-morreu-em-acidente-automobilistico-em-mt.ghtml", "URL")</f>
        <v/>
      </c>
      <c r="K2197">
        <f>HYPERLINK("https://raw.githubusercontent.com/marcosmapl/dataset_imigrantes/main/noticias_filtered/g1/haitianos/2018/04_mai/html/g1_79a49f16-22f7-11ed-b24f-6dbe51e79fca_2081.html", "HTML")</f>
        <v/>
      </c>
      <c r="L2197">
        <f>HYPERLINK("https://raw.githubusercontent.com/marcosmapl/dataset_imigrantes/main/noticias_filtered/g1/haitianos/2018/04_mai/txt/g1_79a49f16-22f7-11ed-b24f-6dbe51e79fca_2081.txt", "TXT")</f>
        <v/>
      </c>
    </row>
    <row r="2198">
      <c r="A2198" s="1" t="n">
        <v>2196</v>
      </c>
      <c r="B2198" t="n">
        <v>2018</v>
      </c>
      <c r="C2198" s="2" t="n">
        <v>43219.85239810185</v>
      </c>
      <c r="D2198" t="inlineStr">
        <is>
          <t>G1</t>
        </is>
      </c>
      <c r="E2198" t="inlineStr">
        <is>
          <t>VENEZUELANOS</t>
        </is>
      </c>
      <c r="F2198" t="inlineStr">
        <is>
          <t>RORAIMA</t>
        </is>
      </c>
      <c r="G2198" t="inlineStr">
        <is>
          <t>ALAN CHAVES, G1 RR</t>
        </is>
      </c>
      <c r="H2198" t="inlineStr">
        <is>
          <t>BRASILEIRO É PRESO AO TENTAR ROUBAR VENEZUELANA QUE SEGUIA PARA O TRABALHO EM BOA VISTA</t>
        </is>
      </c>
      <c r="I2198" t="inlineStr">
        <is>
          <t>NA BOLSA ESTAVA TODO MATERIAL DE TRABALHO DA VÍTIMA. SUSPEITO FOI PRESO APÓS SER IMOBILIZADO POR POPULARES.</t>
        </is>
      </c>
      <c r="J2198">
        <f>HYPERLINK("https://g1.globo.com/rr/roraima/noticia/brasileiro-e-preso-ao-tentar-roubar-venezuelana-que-seguia-para-o-trabalho-em-boa-vista.ghtml", "URL")</f>
        <v/>
      </c>
      <c r="K2198">
        <f>HYPERLINK("https://raw.githubusercontent.com/marcosmapl/dataset_imigrantes/main/noticias_filtered/g1/venezuelanos/2018/03_abr/html/g1_9b3eccbe-2310-11ed-b24f-6dbe51e79fca_2865.html", "HTML")</f>
        <v/>
      </c>
      <c r="L2198">
        <f>HYPERLINK("https://raw.githubusercontent.com/marcosmapl/dataset_imigrantes/main/noticias_filtered/g1/venezuelanos/2018/03_abr/txt/g1_9b3eccbe-2310-11ed-b24f-6dbe51e79fca_2865.txt", "TXT")</f>
        <v/>
      </c>
    </row>
    <row r="2199">
      <c r="A2199" s="1" t="n">
        <v>2197</v>
      </c>
      <c r="B2199" t="n">
        <v>2018</v>
      </c>
      <c r="C2199" s="2" t="n">
        <v>43219.65555555555</v>
      </c>
      <c r="D2199" t="inlineStr">
        <is>
          <t>A CRITICA</t>
        </is>
      </c>
      <c r="E2199" t="inlineStr">
        <is>
          <t>VENEZUELANOS</t>
        </is>
      </c>
      <c r="F2199" t="inlineStr">
        <is>
          <t>MANAUS</t>
        </is>
      </c>
      <c r="G2199" t="inlineStr">
        <is>
          <t>LÍVIA ANSELMO</t>
        </is>
      </c>
      <c r="H2199" t="inlineStr">
        <is>
          <t>MANAUS ESTÁ NA ROTA DA IMIGRAÇÃO DOS CUBANOS QUE BUSCAM 'NOVA VIDA'</t>
        </is>
      </c>
      <c r="I2199" t="inlineStr">
        <is>
          <t>MUDANÇAS NA CONJUNTURA POLÍTICA DO PAÍS CARIBENHO COLOCARAM A CAPITAL AMAZONENSE NO ROTEIRO DE ENTRADA DELES PELA AMÉRICA DO SUL, VIA GUIANA.  EM 2017, 2.373 SOLICITAÇÕES DE REFÚGIO NO BRASIL FORAM FEITAS POR CUBANOS</t>
        </is>
      </c>
      <c r="J2199">
        <f>HYPERLINK("https://www.acritica.com/manaus/manaus-esta-na-rota-da-imigrac-o-dos-cubanos-que-buscam-nova-vida-1.185239", "URL")</f>
        <v/>
      </c>
      <c r="K2199">
        <f>HYPERLINK("https://raw.githubusercontent.com/marcosmapl/dataset_imigrantes/main/noticias_filtered/a_critica/venezuelanos/2018/03_abr/html/1.185239_73.html", "HTML")</f>
        <v/>
      </c>
      <c r="L2199">
        <f>HYPERLINK("https://raw.githubusercontent.com/marcosmapl/dataset_imigrantes/main/noticias_filtered/a_critica/venezuelanos/2018/03_abr/txt/1.185239_73.txt", "TXT")</f>
        <v/>
      </c>
    </row>
    <row r="2200">
      <c r="A2200" s="1" t="n">
        <v>2198</v>
      </c>
      <c r="B2200" t="n">
        <v>2018</v>
      </c>
      <c r="C2200" s="2" t="n">
        <v>43216.89910879629</v>
      </c>
      <c r="D2200" t="inlineStr">
        <is>
          <t>A CRITICA</t>
        </is>
      </c>
      <c r="E2200" t="inlineStr">
        <is>
          <t>VENEZUELANOS</t>
        </is>
      </c>
      <c r="F2200" t="inlineStr"/>
      <c r="G2200" t="inlineStr">
        <is>
          <t>AGÊNCIA BRASIL</t>
        </is>
      </c>
      <c r="H2200" t="inlineStr">
        <is>
          <t>UNIÃO EUROPEIA DOA R$ 10,6 MILHÕES PARA REFUGIADOS VENEZUELANOS NO BRASIL</t>
        </is>
      </c>
      <c r="I2200" t="inlineStr">
        <is>
          <t>ALÉM DE AJUDA DE CUSTO SE DESLOCAR PARA OUTRAS CIDADES, AS FAMÍLIAS RECEBERÃO TAMBÉM CURSOS DE FORMAÇÃO PROFISSIONAL DE CURTA DURAÇÃO</t>
        </is>
      </c>
      <c r="J2200">
        <f>HYPERLINK("https://www.acritica.com/uni-o-europeia-doa-r-10-6-milh-es-para-refugiados-venezuelanos-no-brasil-1.185012", "URL")</f>
        <v/>
      </c>
      <c r="K2200">
        <f>HYPERLINK("https://raw.githubusercontent.com/marcosmapl/dataset_imigrantes/main/noticias_filtered/a_critica/venezuelanos/2018/03_abr/html/1.185012_318.html", "HTML")</f>
        <v/>
      </c>
      <c r="L2200">
        <f>HYPERLINK("https://raw.githubusercontent.com/marcosmapl/dataset_imigrantes/main/noticias_filtered/a_critica/venezuelanos/2018/03_abr/txt/1.185012_318.txt", "TXT")</f>
        <v/>
      </c>
    </row>
    <row r="2201">
      <c r="A2201" s="1" t="n">
        <v>2199</v>
      </c>
      <c r="B2201" t="n">
        <v>2018</v>
      </c>
      <c r="C2201" s="2" t="n">
        <v>43216.42666666667</v>
      </c>
      <c r="D2201" t="inlineStr">
        <is>
          <t>A CRITICA</t>
        </is>
      </c>
      <c r="E2201" t="inlineStr">
        <is>
          <t>VENEZUELANOS</t>
        </is>
      </c>
      <c r="F2201" t="inlineStr"/>
      <c r="G2201" t="inlineStr">
        <is>
          <t>ALIK MENEZES</t>
        </is>
      </c>
      <c r="H2201" t="inlineStr">
        <is>
          <t>CASOS DE MALÁRIA AUMENTAM 34,3% NO AMAZONAS EM 2018, DIZ MINISTÉRIO</t>
        </is>
      </c>
      <c r="I2201" t="inlineStr">
        <is>
          <t>NOS TRÊS PRIMEIROS MESES DESSE ANO, FORAM REGISTRADOS 18.649 CASOS NO AMAZONAS, APONTA O MINISTÉRIO DA SAÚDE. SÃO GABRIEL DA CACHOEIRA É RESPONSÁVEL PELA MAIORIA DOS CASOS (4.484)</t>
        </is>
      </c>
      <c r="J2201">
        <f>HYPERLINK("https://www.acritica.com/casos-de-malaria-aumentam-34-3-no-amazonas-em-2018-diz-ministerio-1.90711", "URL")</f>
        <v/>
      </c>
      <c r="K2201">
        <f>HYPERLINK("https://raw.githubusercontent.com/marcosmapl/dataset_imigrantes/main/noticias_filtered/a_critica/venezuelanos/2018/03_abr/html/1.90711_297.html", "HTML")</f>
        <v/>
      </c>
      <c r="L2201">
        <f>HYPERLINK("https://raw.githubusercontent.com/marcosmapl/dataset_imigrantes/main/noticias_filtered/a_critica/venezuelanos/2018/03_abr/txt/1.90711_297.txt", "TXT")</f>
        <v/>
      </c>
    </row>
    <row r="2202">
      <c r="A2202" s="1" t="n">
        <v>2200</v>
      </c>
      <c r="B2202" t="n">
        <v>2018</v>
      </c>
      <c r="C2202" s="2" t="n">
        <v>43214.83862429398</v>
      </c>
      <c r="D2202" t="inlineStr">
        <is>
          <t>G1</t>
        </is>
      </c>
      <c r="E2202" t="inlineStr">
        <is>
          <t>HAITIANOS</t>
        </is>
      </c>
      <c r="F2202" t="inlineStr">
        <is>
          <t>MATO GROSSO</t>
        </is>
      </c>
      <c r="G2202" t="inlineStr">
        <is>
          <t>G1 MT</t>
        </is>
      </c>
      <c r="H2202" t="inlineStr">
        <is>
          <t>HAITIANO PASSA POR CIRURGIA E ESTÁ INTERNADO APÓS ACIDENTE QUE MATOU DOIS AMIGOS DELE EM MT</t>
        </is>
      </c>
      <c r="I2202" t="inlineStr">
        <is>
          <t>CLIVENS DESSONT FRATUROU MÃO DIREITA E PASSOU POR PROCEDIMENTOS CIRÚRGICOS E CONTINUA INTERNADO. OUTROS DOIS ESTRANGEIROS QUE ESTAVAM NO CARRO MORRERAM.</t>
        </is>
      </c>
      <c r="J2202">
        <f>HYPERLINK("https://g1.globo.com/mt/mato-grosso/noticia/haitiano-passa-por-cirurgia-e-esta-internado-apos-acidente-que-matou-dois-amigos-dele-em-mt.ghtml", "URL")</f>
        <v/>
      </c>
      <c r="K2202">
        <f>HYPERLINK("https://raw.githubusercontent.com/marcosmapl/dataset_imigrantes/main/noticias_filtered/g1/haitianos/2018/03_abr/html/g1_d9b5d5c2-22f3-11ed-b24f-6dbe51e79fca_1861.html", "HTML")</f>
        <v/>
      </c>
      <c r="L2202">
        <f>HYPERLINK("https://raw.githubusercontent.com/marcosmapl/dataset_imigrantes/main/noticias_filtered/g1/haitianos/2018/03_abr/txt/g1_d9b5d5c2-22f3-11ed-b24f-6dbe51e79fca_1861.txt", "TXT")</f>
        <v/>
      </c>
    </row>
    <row r="2203">
      <c r="A2203" s="1" t="n">
        <v>2201</v>
      </c>
      <c r="B2203" t="n">
        <v>2018</v>
      </c>
      <c r="C2203" s="2" t="n">
        <v>43214.33333333334</v>
      </c>
      <c r="D2203" t="inlineStr">
        <is>
          <t>A CRITICA</t>
        </is>
      </c>
      <c r="E2203" t="inlineStr">
        <is>
          <t>VENEZUELANOS</t>
        </is>
      </c>
      <c r="F2203" t="inlineStr">
        <is>
          <t>OPINIAO</t>
        </is>
      </c>
      <c r="G2203" t="inlineStr"/>
      <c r="H2203" t="inlineStr">
        <is>
          <t>MANAUS E OS REFUGIADOS</t>
        </is>
      </c>
      <c r="I2203" t="inlineStr"/>
      <c r="J2203">
        <f>HYPERLINK("https://www.acritica.com/opiniao/manaus-e-os-refugiados-1.229980", "URL")</f>
        <v/>
      </c>
      <c r="K2203">
        <f>HYPERLINK("https://raw.githubusercontent.com/marcosmapl/dataset_imigrantes/main/noticias_filtered/a_critica/venezuelanos/2018/03_abr/html/1.229980_651.html", "HTML")</f>
        <v/>
      </c>
      <c r="L2203">
        <f>HYPERLINK("https://raw.githubusercontent.com/marcosmapl/dataset_imigrantes/main/noticias_filtered/a_critica/venezuelanos/2018/03_abr/txt/1.229980_651.txt", "TXT")</f>
        <v/>
      </c>
    </row>
    <row r="2204">
      <c r="A2204" s="1" t="n">
        <v>2202</v>
      </c>
      <c r="B2204" t="n">
        <v>2018</v>
      </c>
      <c r="C2204" s="2" t="n">
        <v>43213.94663997685</v>
      </c>
      <c r="D2204" t="inlineStr">
        <is>
          <t>G1</t>
        </is>
      </c>
      <c r="E2204" t="inlineStr">
        <is>
          <t>HAITIANOS</t>
        </is>
      </c>
      <c r="F2204" t="inlineStr">
        <is>
          <t>MATO GROSSO</t>
        </is>
      </c>
      <c r="G2204" t="inlineStr">
        <is>
          <t>G1 MT</t>
        </is>
      </c>
      <c r="H2204" t="inlineStr">
        <is>
          <t>VIÚVA DE HAITIANO QUE MORREU EM ACIDENTE DE TRABALHO EM MT DEVE RECEBER R$ 197 MIL EM INDENIZAÇÃO</t>
        </is>
      </c>
      <c r="I2204" t="inlineStr">
        <is>
          <t>SIMILIEN DONABLE, DE 46 ANOS, QUE MORREU SOTERRADO EM 2016. A MULHER DELE ENTROU EM ACORDO COM A EMPRESA RESPONSÁVEL. A AUDIÊNCIA FOI REALIZADA COM A AJUDA DE INTÉRPRETE DE LÍNGUA CRIOULA HAITIANA E LÍNGUA FRANCESA.</t>
        </is>
      </c>
      <c r="J2204">
        <f>HYPERLINK("https://g1.globo.com/mt/mato-grosso/noticia/viuva-de-haitiano-que-morreu-em-acidente-de-trabalho-em-mt-deve-receber-r-197-mil-em-indenizacao.ghtml", "URL")</f>
        <v/>
      </c>
      <c r="K2204">
        <f>HYPERLINK("https://raw.githubusercontent.com/marcosmapl/dataset_imigrantes/main/noticias_filtered/g1/haitianos/2018/03_abr/html/g1_022e6f56-22ee-11ed-b24f-6dbe51e79fca_1695.html", "HTML")</f>
        <v/>
      </c>
      <c r="L2204">
        <f>HYPERLINK("https://raw.githubusercontent.com/marcosmapl/dataset_imigrantes/main/noticias_filtered/g1/haitianos/2018/03_abr/txt/g1_022e6f56-22ee-11ed-b24f-6dbe51e79fca_1695.txt", "TXT")</f>
        <v/>
      </c>
    </row>
    <row r="2205">
      <c r="A2205" s="1" t="n">
        <v>2203</v>
      </c>
      <c r="B2205" t="n">
        <v>2018</v>
      </c>
      <c r="C2205" s="2" t="n">
        <v>43213.94663997685</v>
      </c>
      <c r="D2205" t="inlineStr">
        <is>
          <t>G1</t>
        </is>
      </c>
      <c r="E2205" t="inlineStr">
        <is>
          <t>HAITIANOS</t>
        </is>
      </c>
      <c r="F2205" t="inlineStr">
        <is>
          <t>MATO GROSSO</t>
        </is>
      </c>
      <c r="G2205" t="inlineStr">
        <is>
          <t>G1 MT</t>
        </is>
      </c>
      <c r="H2205" t="inlineStr">
        <is>
          <t>VIÚVA DE HAITIANO QUE MORREU EM ACIDENTE DE TRABALHO EM MT DEVE RECEBER R$ 197 MIL EM INDENIZAÇÃO</t>
        </is>
      </c>
      <c r="I2205" t="inlineStr">
        <is>
          <t>SIMILIEN DONABLE, DE 46 ANOS, QUE MORREU SOTERRADO EM 2016. A MULHER DELE ENTROU EM ACORDO COM A EMPRESA RESPONSÁVEL. A AUDIÊNCIA FOI REALIZADA COM A AJUDA DE INTÉRPRETE DE LÍNGUA CRIOULA HAITIANA E LÍNGUA FRANCESA.</t>
        </is>
      </c>
      <c r="J2205">
        <f>HYPERLINK("https://g1.globo.com/mt/mato-grosso/noticia/viuva-de-haitiano-que-morreu-em-acidente-de-trabalho-em-mt-deve-receber-r-197-mil-em-indenizacao.ghtml", "URL")</f>
        <v/>
      </c>
      <c r="K2205">
        <f>HYPERLINK("https://raw.githubusercontent.com/marcosmapl/dataset_imigrantes/main/noticias_filtered/g1/haitianos/2018/03_abr/html/g1_5182eb00-0daf-4414-b99d-aa35eb057b22_1626.html", "HTML")</f>
        <v/>
      </c>
      <c r="L2205">
        <f>HYPERLINK("https://raw.githubusercontent.com/marcosmapl/dataset_imigrantes/main/noticias_filtered/g1/haitianos/2018/03_abr/txt/g1_5182eb00-0daf-4414-b99d-aa35eb057b22_1626.txt", "TXT")</f>
        <v/>
      </c>
    </row>
    <row r="2206">
      <c r="A2206" s="1" t="n">
        <v>2204</v>
      </c>
      <c r="B2206" t="n">
        <v>2018</v>
      </c>
      <c r="C2206" s="2" t="n">
        <v>43213.78223184028</v>
      </c>
      <c r="D2206" t="inlineStr">
        <is>
          <t>G1</t>
        </is>
      </c>
      <c r="E2206" t="inlineStr">
        <is>
          <t>HAITIANOS</t>
        </is>
      </c>
      <c r="F2206" t="inlineStr">
        <is>
          <t>MATO GROSSO</t>
        </is>
      </c>
      <c r="G2206" t="inlineStr">
        <is>
          <t>G1 MT</t>
        </is>
      </c>
      <c r="H2206" t="inlineStr">
        <is>
          <t>UNIVERSITÁRIO HAITIANO QUE MORREU EM ACIDENTE AUTOMOBILÍSTICO TINHA SE CASADO HÁ 8 DIAS EM CUIABÁ</t>
        </is>
      </c>
      <c r="I2206" t="inlineStr">
        <is>
          <t>MICHELET NOEL ESTAVA NO BRASIL DESDE 2015, CURSAVA PUBLICIDADE E PROPAGANDA E ERA DONO DE UMA LAN HOUSE. CASAL TEM FILHO DE 1 ANO.</t>
        </is>
      </c>
      <c r="J2206">
        <f>HYPERLINK("https://g1.globo.com/mt/mato-grosso/noticia/universitario-haitiano-que-morreu-em-acidente-automobilistico-tinha-se-casado-ha-8-dias-em-cuiaba.ghtml", "URL")</f>
        <v/>
      </c>
      <c r="K2206">
        <f>HYPERLINK("https://raw.githubusercontent.com/marcosmapl/dataset_imigrantes/main/noticias_filtered/g1/haitianos/2018/03_abr/html/g1_07a1f8b4-22f2-11ed-b24f-6dbe51e79fca_1776.html", "HTML")</f>
        <v/>
      </c>
      <c r="L2206">
        <f>HYPERLINK("https://raw.githubusercontent.com/marcosmapl/dataset_imigrantes/main/noticias_filtered/g1/haitianos/2018/03_abr/txt/g1_07a1f8b4-22f2-11ed-b24f-6dbe51e79fca_1776.txt", "TXT")</f>
        <v/>
      </c>
    </row>
    <row r="2207">
      <c r="A2207" s="1" t="n">
        <v>2205</v>
      </c>
      <c r="B2207" t="n">
        <v>2018</v>
      </c>
      <c r="C2207" s="2" t="n">
        <v>43212.84629572916</v>
      </c>
      <c r="D2207" t="inlineStr">
        <is>
          <t>G1</t>
        </is>
      </c>
      <c r="E2207" t="inlineStr">
        <is>
          <t>HAITIANOS</t>
        </is>
      </c>
      <c r="F2207" t="inlineStr">
        <is>
          <t>MATO GROSSO</t>
        </is>
      </c>
      <c r="G2207" t="inlineStr">
        <is>
          <t>G1 MT</t>
        </is>
      </c>
      <c r="H2207" t="inlineStr">
        <is>
          <t>ACIDENTE COM CARRO QUE CAPOTOU NA MT-251 MATOU 2 HAITIANOS, DIZ DELETRAN</t>
        </is>
      </c>
      <c r="I2207" t="inlineStr">
        <is>
          <t>ACIDENTE OCORREU NA RODOVIA EMANUEL PINHEIRO, ENTRE CUIABÁ E CHAPADA DOS GUIMARÃES. OUTROS DOIS HAITIANOS ESTÃO INTERNADOS NO PRONTO-SOCORRO.</t>
        </is>
      </c>
      <c r="J2207">
        <f>HYPERLINK("https://g1.globo.com/mt/mato-grosso/noticia/acidente-com-carro-que-capotou-na-mt-251-matou-2-haitianos-diz-deletran.ghtml", "URL")</f>
        <v/>
      </c>
      <c r="K2207">
        <f>HYPERLINK("https://raw.githubusercontent.com/marcosmapl/dataset_imigrantes/main/noticias_filtered/g1/haitianos/2018/03_abr/html/g1_336555d6-22f2-11ed-b24f-6dbe51e79fca_1783.html", "HTML")</f>
        <v/>
      </c>
      <c r="L2207">
        <f>HYPERLINK("https://raw.githubusercontent.com/marcosmapl/dataset_imigrantes/main/noticias_filtered/g1/haitianos/2018/03_abr/txt/g1_336555d6-22f2-11ed-b24f-6dbe51e79fca_1783.txt", "TXT")</f>
        <v/>
      </c>
    </row>
    <row r="2208">
      <c r="A2208" s="1" t="n">
        <v>2206</v>
      </c>
      <c r="B2208" t="n">
        <v>2018</v>
      </c>
      <c r="C2208" s="2" t="n">
        <v>43210.761254375</v>
      </c>
      <c r="D2208" t="inlineStr">
        <is>
          <t>G1</t>
        </is>
      </c>
      <c r="E2208" t="inlineStr">
        <is>
          <t>VENEZUELANOS</t>
        </is>
      </c>
      <c r="F2208" t="inlineStr">
        <is>
          <t>SANTA CATARINA</t>
        </is>
      </c>
      <c r="G2208" t="inlineStr">
        <is>
          <t>G1 SC</t>
        </is>
      </c>
      <c r="H2208" t="inlineStr">
        <is>
          <t>SECRETÁRIA DE SC DIZ QUE GOVERNO FEDERAL DEVERÁ REPASSAR R$ 400 POR VENEZUELANO RECEBIDO NO ESTADO</t>
        </is>
      </c>
      <c r="I2208" t="inlineStr">
        <is>
          <t>AINDA NÃO SE SABE QUANDO E POR QUAIS MUNICÍPIOS ESSES VENEZUELANOS SERÃO RECEBIDOS.</t>
        </is>
      </c>
      <c r="J2208">
        <f>HYPERLINK("https://g1.globo.com/sc/santa-catarina/noticia/secretaria-de-sc-diz-que-governo-federal-devera-repassar-r-400-por-venezuelano-recebido-no-estado.ghtml", "URL")</f>
        <v/>
      </c>
      <c r="K2208">
        <f>HYPERLINK("https://raw.githubusercontent.com/marcosmapl/dataset_imigrantes/main/noticias_filtered/g1/venezuelanos/2018/03_abr/html/g1_89b4b68e-230b-11ed-b24f-6dbe51e79fca_2569.html", "HTML")</f>
        <v/>
      </c>
      <c r="L2208">
        <f>HYPERLINK("https://raw.githubusercontent.com/marcosmapl/dataset_imigrantes/main/noticias_filtered/g1/venezuelanos/2018/03_abr/txt/g1_89b4b68e-230b-11ed-b24f-6dbe51e79fca_2569.txt", "TXT")</f>
        <v/>
      </c>
    </row>
    <row r="2209">
      <c r="A2209" s="1" t="n">
        <v>2207</v>
      </c>
      <c r="B2209" t="n">
        <v>2018</v>
      </c>
      <c r="C2209" s="2" t="n">
        <v>43206.88611111111</v>
      </c>
      <c r="D2209" t="inlineStr">
        <is>
          <t>PORTAL AMAZONIA</t>
        </is>
      </c>
      <c r="E2209" t="inlineStr">
        <is>
          <t>VENEZUELANOS</t>
        </is>
      </c>
      <c r="F2209" t="inlineStr">
        <is>
          <t>CIDADES</t>
        </is>
      </c>
      <c r="G2209" t="inlineStr">
        <is>
          <t>REDAÇÃO</t>
        </is>
      </c>
      <c r="H2209" t="inlineStr">
        <is>
          <t>ASSISTÊNCIA EMERGENCIAL A VENEZUELANOS É TEMA DE AUDIÊNCIAS PÚBLICAS NO SENADO</t>
        </is>
      </c>
      <c r="I2209" t="inlineStr">
        <is>
          <t>FOTO:REPRODUÇÃO/HUMAN RIGHTS WATCHTRÊS AUDIÊNCIAS PÚBLICAS NO SENADO, ESTA SEMANA, VÃO DEBATER ESTRUTURA DE ASSISTÊNCIA EMERGENCIAL VOLTADA AOS VENEZUELANOS. AS REUNIÕES SERÃO REALIZADAS NOS DIAS 17, 18 E 19 E FORAM AGEN</t>
        </is>
      </c>
      <c r="J2209">
        <f>HYPERLINK("https://portalamazonia.com/noticias/cidades/assistencia-emergencial-a-venezuelanos-e-tema-de-audiencias-publicas-no-senado", "URL")</f>
        <v/>
      </c>
      <c r="K2209">
        <f>HYPERLINK("https://raw.githubusercontent.com/marcosmapl/dataset_imigrantes/main/noticias_filtered/portal_amazonia/venezuelanos/2018/03_abr/html/13358.13358_1478.html", "HTML")</f>
        <v/>
      </c>
      <c r="L2209">
        <f>HYPERLINK("https://raw.githubusercontent.com/marcosmapl/dataset_imigrantes/main/noticias_filtered/portal_amazonia/venezuelanos/2018/03_abr/txt/13358.13358_1478.txt", "TXT")</f>
        <v/>
      </c>
    </row>
    <row r="2210">
      <c r="A2210" s="1" t="n">
        <v>2208</v>
      </c>
      <c r="B2210" t="n">
        <v>2018</v>
      </c>
      <c r="C2210" s="2" t="n">
        <v>43204.83673670139</v>
      </c>
      <c r="D2210" t="inlineStr">
        <is>
          <t>G1</t>
        </is>
      </c>
      <c r="E2210" t="inlineStr">
        <is>
          <t>VENEZUELANOS</t>
        </is>
      </c>
      <c r="F2210" t="inlineStr">
        <is>
          <t>RORAIMA</t>
        </is>
      </c>
      <c r="G2210" t="inlineStr">
        <is>
          <t>G1 RR</t>
        </is>
      </c>
      <c r="H2210" t="inlineStr">
        <is>
          <t>PRF APREENDE CARRO QUE TRANSPORTAVA 500 LITROS DE GASOLINA VENEZUELANA EM BOA VISTA</t>
        </is>
      </c>
      <c r="I2210" t="inlineStr">
        <is>
          <t>ALÉM DESSE VEÍCULO, UM SEGUNDO TAMBÉM FOI VISTO E FUGIU. MATERIAL FOI APREENDIDO E LEVADO À RECEITA FEDERAL.</t>
        </is>
      </c>
      <c r="J2210">
        <f>HYPERLINK("https://g1.globo.com/rr/roraima/noticia/prf-apreende-carro-que-transportava-500-litros-de-gasolina-venezuelana-em-boa-vista.ghtml", "URL")</f>
        <v/>
      </c>
      <c r="K2210">
        <f>HYPERLINK("https://raw.githubusercontent.com/marcosmapl/dataset_imigrantes/main/noticias_filtered/g1/venezuelanos/2018/03_abr/html/g1_9e2a3dfc-2318-11ed-b24f-6dbe51e79fca_3270.html", "HTML")</f>
        <v/>
      </c>
      <c r="L2210">
        <f>HYPERLINK("https://raw.githubusercontent.com/marcosmapl/dataset_imigrantes/main/noticias_filtered/g1/venezuelanos/2018/03_abr/txt/g1_9e2a3dfc-2318-11ed-b24f-6dbe51e79fca_3270.txt", "TXT")</f>
        <v/>
      </c>
    </row>
    <row r="2211">
      <c r="A2211" s="1" t="n">
        <v>2209</v>
      </c>
      <c r="B2211" t="n">
        <v>2018</v>
      </c>
      <c r="C2211" s="2" t="n">
        <v>43204.60011574074</v>
      </c>
      <c r="D2211" t="inlineStr">
        <is>
          <t>A CRITICA</t>
        </is>
      </c>
      <c r="E2211" t="inlineStr">
        <is>
          <t>VENEZUELANOS</t>
        </is>
      </c>
      <c r="F2211" t="inlineStr"/>
      <c r="G2211" t="inlineStr">
        <is>
          <t>CAMILA BOEHM -  AGÊNCIA BRASIL</t>
        </is>
      </c>
      <c r="H2211" t="inlineStr">
        <is>
          <t>IMIGRANTES ESTÃO DISTRIBUÍDOS PELO INTERIOR DO BRASIL, MOSTRA PESQUISA DA UNICAMP</t>
        </is>
      </c>
      <c r="I2211" t="inlineStr">
        <is>
          <t>OS 8.437 VENEZUELANOS QUE REGISTRARAM RESIDÊNCIA NO BRASIL NO PERÍODO ESTÃO PRESENTES NÃO SÓ NAS REGIÕES DE FRONTEIRA, COMO EM RORAIMA</t>
        </is>
      </c>
      <c r="J2211">
        <f>HYPERLINK("https://www.acritica.com/imigrantes-est-o-distribuidos-pelo-interior-do-brasil-mostra-pesquisa-da-unicamp-1.92547", "URL")</f>
        <v/>
      </c>
      <c r="K2211">
        <f>HYPERLINK("https://raw.githubusercontent.com/marcosmapl/dataset_imigrantes/main/noticias_filtered/a_critica/venezuelanos/2018/03_abr/html/1.92547_947.html", "HTML")</f>
        <v/>
      </c>
      <c r="L2211">
        <f>HYPERLINK("https://raw.githubusercontent.com/marcosmapl/dataset_imigrantes/main/noticias_filtered/a_critica/venezuelanos/2018/03_abr/txt/1.92547_947.txt", "TXT")</f>
        <v/>
      </c>
    </row>
    <row r="2212">
      <c r="A2212" s="1" t="n">
        <v>2210</v>
      </c>
      <c r="B2212" t="n">
        <v>2018</v>
      </c>
      <c r="C2212" s="2" t="n">
        <v>43204.02789351852</v>
      </c>
      <c r="D2212" t="inlineStr">
        <is>
          <t>A CRITICA</t>
        </is>
      </c>
      <c r="E2212" t="inlineStr">
        <is>
          <t>VENEZUELANOS</t>
        </is>
      </c>
      <c r="F2212" t="inlineStr"/>
      <c r="G2212" t="inlineStr">
        <is>
          <t>DA AGÊNCIA EFE</t>
        </is>
      </c>
      <c r="H2212" t="inlineStr">
        <is>
          <t>DONALD TRUMP ANUNCIA ATAQUE DE 'PRECISÃO' À SÍRIA CONTRA USO DE ARMAS QUÍMICAS</t>
        </is>
      </c>
      <c r="I2212" t="inlineStr">
        <is>
          <t>OS ATAQUES DE PRECISÃO DOS EUA CONTRA O REGIME DO SÍRIO BASHAR AL ASSAD SERÃO REALIZADOS EM PARCERIA COM O REINO UNIDO E A FRANÇA</t>
        </is>
      </c>
      <c r="J2212">
        <f>HYPERLINK("https://www.acritica.com/donald-trump-anuncia-ataque-de-precis-o-a-siria-contra-uso-de-armas-quimicas-1.92561", "URL")</f>
        <v/>
      </c>
      <c r="K2212">
        <f>HYPERLINK("https://raw.githubusercontent.com/marcosmapl/dataset_imigrantes/main/noticias_filtered/a_critica/venezuelanos/2018/03_abr/html/1.92561_1044.html", "HTML")</f>
        <v/>
      </c>
      <c r="L2212">
        <f>HYPERLINK("https://raw.githubusercontent.com/marcosmapl/dataset_imigrantes/main/noticias_filtered/a_critica/venezuelanos/2018/03_abr/txt/1.92561_1044.txt", "TXT")</f>
        <v/>
      </c>
    </row>
    <row r="2213">
      <c r="A2213" s="1" t="n">
        <v>2211</v>
      </c>
      <c r="B2213" t="n">
        <v>2018</v>
      </c>
      <c r="C2213" s="2" t="n">
        <v>43203.94226851852</v>
      </c>
      <c r="D2213" t="inlineStr">
        <is>
          <t>A CRITICA</t>
        </is>
      </c>
      <c r="E2213" t="inlineStr">
        <is>
          <t>VENEZUELANOS</t>
        </is>
      </c>
      <c r="F2213" t="inlineStr"/>
      <c r="G2213" t="inlineStr">
        <is>
          <t>ALEX RODRIGUES - REPÓRTER DA AGÊNCIA BRASIL</t>
        </is>
      </c>
      <c r="H2213" t="inlineStr">
        <is>
          <t>RORAIMA PEDE AO STF QUE DETERMINE FECHAMENTO DA FRONTEIRA COM A VENEZUELA</t>
        </is>
      </c>
      <c r="I2213" t="inlineStr">
        <is>
          <t>A GOVERNADORA JUSTIFICA A AÇÃO AFIRMANDO QUE “PARA RESOLVER OS IMPACTOS DA MIGRAÇÃO E PROTEGER O POVO DE RORAIMA É PRECISO QUE A FRONTEIRA SEJA FECHADA TEMPORARIAMENTE”</t>
        </is>
      </c>
      <c r="J2213">
        <f>HYPERLINK("https://www.acritica.com/roraima-pede-ao-stf-que-determine-fechamento-da-fronteira-com-a-venezuela-1.92577", "URL")</f>
        <v/>
      </c>
      <c r="K2213">
        <f>HYPERLINK("https://raw.githubusercontent.com/marcosmapl/dataset_imigrantes/main/noticias_filtered/a_critica/venezuelanos/2018/03_abr/html/1.92577_1142.html", "HTML")</f>
        <v/>
      </c>
      <c r="L2213">
        <f>HYPERLINK("https://raw.githubusercontent.com/marcosmapl/dataset_imigrantes/main/noticias_filtered/a_critica/venezuelanos/2018/03_abr/txt/1.92577_1142.txt", "TXT")</f>
        <v/>
      </c>
    </row>
    <row r="2214">
      <c r="A2214" s="1" t="n">
        <v>2212</v>
      </c>
      <c r="B2214" t="n">
        <v>2018</v>
      </c>
      <c r="C2214" s="2" t="n">
        <v>43202.88868216435</v>
      </c>
      <c r="D2214" t="inlineStr">
        <is>
          <t>G1</t>
        </is>
      </c>
      <c r="E2214" t="inlineStr">
        <is>
          <t>VENEZUELANOS</t>
        </is>
      </c>
      <c r="F2214" t="inlineStr">
        <is>
          <t>MUNDO</t>
        </is>
      </c>
      <c r="G2214" t="inlineStr">
        <is>
          <t>FRANCE PRESSE</t>
        </is>
      </c>
      <c r="H2214" t="inlineStr">
        <is>
          <t>PODER ELEITORAL VENEZUELANO CONVIDA UE PARA OBSERVAR ELEIÇÕES PRESIDENCIAIS</t>
        </is>
      </c>
      <c r="I2214" t="inlineStr">
        <is>
          <t>BLOCO QUESTIONA LEGITIMIDADE DAS ELEIÇÕES, QUE SERÃO REALIZADAS EM 20 DE MAIO. ONU TAMBÉM RECEBEU CONVITE, A PEDIDO DOS PRINCIPAIS CANDIDATOS, NICOLÁS MADURO E O OPOSITOR HENRI FALCÓN.</t>
        </is>
      </c>
      <c r="J2214">
        <f>HYPERLINK("https://g1.globo.com/mundo/noticia/poder-eleitoral-venezuelano-convida-ue-para-observar-eleicoes-presidenciais.ghtml", "URL")</f>
        <v/>
      </c>
      <c r="K2214">
        <f>HYPERLINK("https://raw.githubusercontent.com/marcosmapl/dataset_imigrantes/main/noticias_filtered/g1/venezuelanos/2018/03_abr/html/g1_fb223fb6-230c-11ed-b24f-6dbe51e79fca_2660.html", "HTML")</f>
        <v/>
      </c>
      <c r="L2214">
        <f>HYPERLINK("https://raw.githubusercontent.com/marcosmapl/dataset_imigrantes/main/noticias_filtered/g1/venezuelanos/2018/03_abr/txt/g1_fb223fb6-230c-11ed-b24f-6dbe51e79fca_2660.txt", "TXT")</f>
        <v/>
      </c>
    </row>
    <row r="2215">
      <c r="A2215" s="1" t="n">
        <v>2213</v>
      </c>
      <c r="B2215" t="n">
        <v>2018</v>
      </c>
      <c r="C2215" s="2" t="n">
        <v>43202.35486111111</v>
      </c>
      <c r="D2215" t="inlineStr">
        <is>
          <t>A CRITICA</t>
        </is>
      </c>
      <c r="E2215" t="inlineStr">
        <is>
          <t>VENEZUELANOS</t>
        </is>
      </c>
      <c r="F2215" t="inlineStr">
        <is>
          <t>MANAUS</t>
        </is>
      </c>
      <c r="G2215" t="inlineStr">
        <is>
          <t>PAULO ANDRÉ NUNES</t>
        </is>
      </c>
      <c r="H2215" t="inlineStr">
        <is>
          <t>ABRIGO DO COROADO RECEBERÁ 200 REFUGIADOS DA VENEZUELA ATÉ O FIM DO MÊS</t>
        </is>
      </c>
      <c r="I2215" t="inlineStr">
        <is>
          <t>ESPAÇO QUE ATENDEU WARAOS NO ANO PASSADO AGORA ATENDERÁ NÃO-INDÍGENAS QUE FOGEM DAS CRISES NO PAÍS VIZINHO</t>
        </is>
      </c>
      <c r="J2215">
        <f>HYPERLINK("https://www.acritica.com/manaus/abrigo-do-coroado-recebera-200-refugiados-da-venezuela-ate-o-fim-do-mes-1.91443", "URL")</f>
        <v/>
      </c>
      <c r="K2215">
        <f>HYPERLINK("https://raw.githubusercontent.com/marcosmapl/dataset_imigrantes/main/noticias_filtered/a_critica/venezuelanos/2018/03_abr/html/1.91443_1138.html", "HTML")</f>
        <v/>
      </c>
      <c r="L2215">
        <f>HYPERLINK("https://raw.githubusercontent.com/marcosmapl/dataset_imigrantes/main/noticias_filtered/a_critica/venezuelanos/2018/03_abr/txt/1.91443_1138.txt", "TXT")</f>
        <v/>
      </c>
    </row>
    <row r="2216">
      <c r="A2216" s="1" t="n">
        <v>2214</v>
      </c>
      <c r="B2216" t="n">
        <v>2018</v>
      </c>
      <c r="C2216" s="2" t="n">
        <v>43201.60694444444</v>
      </c>
      <c r="D2216" t="inlineStr">
        <is>
          <t>A CRITICA</t>
        </is>
      </c>
      <c r="E2216" t="inlineStr">
        <is>
          <t>VENEZUELANOS</t>
        </is>
      </c>
      <c r="F2216" t="inlineStr"/>
      <c r="G2216" t="inlineStr">
        <is>
          <t>ACRITICA.COM*</t>
        </is>
      </c>
      <c r="H2216" t="inlineStr">
        <is>
          <t>AMAZONAS PODE SE TORNAR LIVRE DE FEBRE AFTOSA SEM VACINAÇÃO ATÉ 2020</t>
        </is>
      </c>
      <c r="I2216" t="inlineStr">
        <is>
          <t>O ESTADO DEVE SER RECONHECIDO PELA ORGANIZAÇÃO MUNDIAL DE SAÚDE (OIE) COMO ÁREA LIVRE DE FEBRE AFTOSA COM VACINAÇÃO ATÉ O PRÓXIMO MÊS</t>
        </is>
      </c>
      <c r="J2216">
        <f>HYPERLINK("https://www.acritica.com/amazonas-pode-se-tornar-livre-de-febre-aftosa-sem-vacinac-o-ate-2020-1.204542", "URL")</f>
        <v/>
      </c>
      <c r="K2216">
        <f>HYPERLINK("https://raw.githubusercontent.com/marcosmapl/dataset_imigrantes/main/noticias_filtered/a_critica/venezuelanos/2018/03_abr/html/1.204542_470.html", "HTML")</f>
        <v/>
      </c>
      <c r="L2216">
        <f>HYPERLINK("https://raw.githubusercontent.com/marcosmapl/dataset_imigrantes/main/noticias_filtered/a_critica/venezuelanos/2018/03_abr/txt/1.204542_470.txt", "TXT")</f>
        <v/>
      </c>
    </row>
    <row r="2217">
      <c r="A2217" s="1" t="n">
        <v>2215</v>
      </c>
      <c r="B2217" t="n">
        <v>2018</v>
      </c>
      <c r="C2217" s="2" t="n">
        <v>43200.70270833333</v>
      </c>
      <c r="D2217" t="inlineStr">
        <is>
          <t>A CRITICA</t>
        </is>
      </c>
      <c r="E2217" t="inlineStr">
        <is>
          <t>HAITIANOS</t>
        </is>
      </c>
      <c r="F2217" t="inlineStr"/>
      <c r="G2217" t="inlineStr">
        <is>
          <t>AGÊNCIA BRASIL</t>
        </is>
      </c>
      <c r="H2217" t="inlineStr">
        <is>
          <t>GOVERNO DECIDE CONCEDER VISTO HUMANITÁRIO A HAITIANOS QUE DESEJAM VIR AO BRASIL</t>
        </is>
      </c>
      <c r="I2217" t="inlineStr">
        <is>
          <t>O VISTO SERÁ EMITIDO EXCLUSIVAMENTE PELA EMBAIXADA BRASILEIRA EM PORTO PRÍNCIPE, CAPITAL DO HAITI, E PERMITIRÁ A CONCESSÃO DE RESIDÊNCIA TEMPORÁRIA DE DOIS ANOS NO BRASIL</t>
        </is>
      </c>
      <c r="J2217">
        <f>HYPERLINK("https://www.acritica.com/governo-decide-conceder-visto-humanitario-a-haitianos-que-desejam-vir-ao-brasil-1.204615", "URL")</f>
        <v/>
      </c>
      <c r="K2217">
        <f>HYPERLINK("https://raw.githubusercontent.com/marcosmapl/dataset_imigrantes/main/noticias_filtered/a_critica/haitianos/2018/03_abr/html/1.204615_948.html", "HTML")</f>
        <v/>
      </c>
      <c r="L2217">
        <f>HYPERLINK("https://raw.githubusercontent.com/marcosmapl/dataset_imigrantes/main/noticias_filtered/a_critica/haitianos/2018/03_abr/txt/1.204615_948.txt", "TXT")</f>
        <v/>
      </c>
    </row>
    <row r="2218">
      <c r="A2218" s="1" t="n">
        <v>2216</v>
      </c>
      <c r="B2218" t="n">
        <v>2018</v>
      </c>
      <c r="C2218" s="2" t="n">
        <v>43200.0423937037</v>
      </c>
      <c r="D2218" t="inlineStr">
        <is>
          <t>G1</t>
        </is>
      </c>
      <c r="E2218" t="inlineStr">
        <is>
          <t>VENEZUELANOS</t>
        </is>
      </c>
      <c r="F2218" t="inlineStr">
        <is>
          <t>MUNDO</t>
        </is>
      </c>
      <c r="G2218" t="inlineStr">
        <is>
          <t>FRANCE PRESSE</t>
        </is>
      </c>
      <c r="H2218" t="inlineStr">
        <is>
          <t>SUPREMO VENEZUELANO DESTITUÍDO PEDE NA COLÔMBIA CAPTURA DE MADURO</t>
        </is>
      </c>
      <c r="I2218" t="inlineStr">
        <is>
          <t>JUÍZES EXILADOS CITAM SUPOSTOS VÍNCULOS DO PRESIDENTE VENEZUELANO COM O ESCÂNDALO DE CORRUPÇÃO DA ODEBRECHT. 'ATO CIRCENSE', DIZ PROCURADOR-GERAL.</t>
        </is>
      </c>
      <c r="J2218">
        <f>HYPERLINK("https://g1.globo.com/mundo/noticia/supremo-venezuelano-destituido-pede-na-colombia-captura-de-maduro.ghtml", "URL")</f>
        <v/>
      </c>
      <c r="K2218">
        <f>HYPERLINK("https://raw.githubusercontent.com/marcosmapl/dataset_imigrantes/main/noticias_filtered/g1/venezuelanos/2018/03_abr/html/g1_51da123e-2308-11ed-b24f-6dbe51e79fca_2378.html", "HTML")</f>
        <v/>
      </c>
      <c r="L2218">
        <f>HYPERLINK("https://raw.githubusercontent.com/marcosmapl/dataset_imigrantes/main/noticias_filtered/g1/venezuelanos/2018/03_abr/txt/g1_51da123e-2308-11ed-b24f-6dbe51e79fca_2378.txt", "TXT")</f>
        <v/>
      </c>
    </row>
    <row r="2219">
      <c r="A2219" s="1" t="n">
        <v>2217</v>
      </c>
      <c r="B2219" t="n">
        <v>2018</v>
      </c>
      <c r="C2219" s="2" t="n">
        <v>43198.55209408565</v>
      </c>
      <c r="D2219" t="inlineStr">
        <is>
          <t>G1</t>
        </is>
      </c>
      <c r="E2219" t="inlineStr">
        <is>
          <t>AMBOS</t>
        </is>
      </c>
      <c r="F2219" t="inlineStr">
        <is>
          <t>AMAZONAS</t>
        </is>
      </c>
      <c r="G2219" t="inlineStr">
        <is>
          <t>G1 AM</t>
        </is>
      </c>
      <c r="H2219" t="inlineStr">
        <is>
          <t>REDE PÚBLICA DE ENSINO DO AM TEM MAIS DE 700 ALUNOS VENEZUELANOS E HAITIANOS</t>
        </is>
      </c>
      <c r="I2219" t="inlineStr">
        <is>
          <t>EM 2017, NÚMERO DE HAITIANOS E VENEZUELANOS INSERIDOS EM ESCOLAS PÚBLICAS NO ESTADO ERA DE 435 ESTUDANTES.</t>
        </is>
      </c>
      <c r="J2219">
        <f>HYPERLINK("https://g1.globo.com/am/amazonas/noticia/rede-publica-de-ensino-do-am-tem-mais-de-700-alunos-venezuelanos-e-haitianos.ghtml", "URL")</f>
        <v/>
      </c>
      <c r="K2219">
        <f>HYPERLINK("https://raw.githubusercontent.com/marcosmapl/dataset_imigrantes/main/noticias_filtered/g1/ambos/2018/03_abr/html/g1_c45321ca-22f9-11ed-b24f-6dbe51e79fca_2183.html", "HTML")</f>
        <v/>
      </c>
      <c r="L2219">
        <f>HYPERLINK("https://raw.githubusercontent.com/marcosmapl/dataset_imigrantes/main/noticias_filtered/g1/ambos/2018/03_abr/txt/g1_c45321ca-22f9-11ed-b24f-6dbe51e79fca_2183.txt", "TXT")</f>
        <v/>
      </c>
    </row>
    <row r="2220">
      <c r="A2220" s="1" t="n">
        <v>2218</v>
      </c>
      <c r="B2220" t="n">
        <v>2018</v>
      </c>
      <c r="C2220" s="2" t="n">
        <v>43197.03263888889</v>
      </c>
      <c r="D2220" t="inlineStr">
        <is>
          <t>A CRITICA</t>
        </is>
      </c>
      <c r="E2220" t="inlineStr">
        <is>
          <t>VENEZUELANOS</t>
        </is>
      </c>
      <c r="F2220" t="inlineStr">
        <is>
          <t>ESPORTES</t>
        </is>
      </c>
      <c r="G2220" t="inlineStr">
        <is>
          <t>DENIR SIMPLÍCIO</t>
        </is>
      </c>
      <c r="H2220" t="inlineStr">
        <is>
          <t>FAST CLUBE E MANAUS FC DECIDEM 102ª EDIÇÃO DO BAREZÃO 2018 NESTE SÁBADO (7)</t>
        </is>
      </c>
      <c r="I2220" t="inlineStr">
        <is>
          <t>ARENA DA AMAZÔNIA RECEBE A SUA QUARTA FINAL DE CAMPEONATO AMAZONENSE. OS DOIS TIMES JÁ ERGUERAM A TAÇA NO ESTÁDIO, PORÉM, HOJE, APENAS UM DELES VAI SER O PRIMEIRO BICAMPEÃO DA ARENA</t>
        </is>
      </c>
      <c r="J2220">
        <f>HYPERLINK("https://www.acritica.com/esportes/fast-clube-e-manaus-fc-decidem-102-edic-o-do-barez-o-2018-neste-sabado-7-1.91671", "URL")</f>
        <v/>
      </c>
      <c r="K2220">
        <f>HYPERLINK("https://raw.githubusercontent.com/marcosmapl/dataset_imigrantes/main/noticias_filtered/a_critica/venezuelanos/2018/03_abr/html/1.91671_741.html", "HTML")</f>
        <v/>
      </c>
      <c r="L2220">
        <f>HYPERLINK("https://raw.githubusercontent.com/marcosmapl/dataset_imigrantes/main/noticias_filtered/a_critica/venezuelanos/2018/03_abr/txt/1.91671_741.txt", "TXT")</f>
        <v/>
      </c>
    </row>
    <row r="2221">
      <c r="A2221" s="1" t="n">
        <v>2219</v>
      </c>
      <c r="B2221" t="n">
        <v>2018</v>
      </c>
      <c r="C2221" s="2" t="n">
        <v>43196.78333333333</v>
      </c>
      <c r="D2221" t="inlineStr">
        <is>
          <t>A CRITICA</t>
        </is>
      </c>
      <c r="E2221" t="inlineStr">
        <is>
          <t>VENEZUELANOS</t>
        </is>
      </c>
      <c r="F2221" t="inlineStr">
        <is>
          <t>ESPORTES</t>
        </is>
      </c>
      <c r="G2221" t="inlineStr">
        <is>
          <t>DENIR SIMPLÍCIO</t>
        </is>
      </c>
      <c r="H2221" t="inlineStr">
        <is>
          <t>CAPITÃO DO FAST 'RENASCE DAS CINZAS' EM BUSCA DO BICAMPEONATO DO BAREZÃO</t>
        </is>
      </c>
      <c r="I2221" t="inlineStr">
        <is>
          <t>ROBERTO DINAMITE QUASE TEVE QUE ABANDONAR O FUTEBOL, MAS SE RECUPEROU A TEMPO DE LIDERAR O ROLO COMPRESSOR NA GRANDE FINAL DO CAMPEONATO AMAZONENSE DE 2018</t>
        </is>
      </c>
      <c r="J2221">
        <f>HYPERLINK("https://www.acritica.com/esportes/capit-o-do-fast-renasce-das-cinzas-em-busca-do-bicampeonato-do-barez-o-1.204971", "URL")</f>
        <v/>
      </c>
      <c r="K2221">
        <f>HYPERLINK("https://raw.githubusercontent.com/marcosmapl/dataset_imigrantes/main/noticias_filtered/a_critica/venezuelanos/2018/03_abr/html/1.204971_1289.html", "HTML")</f>
        <v/>
      </c>
      <c r="L2221">
        <f>HYPERLINK("https://raw.githubusercontent.com/marcosmapl/dataset_imigrantes/main/noticias_filtered/a_critica/venezuelanos/2018/03_abr/txt/1.204971_1289.txt", "TXT")</f>
        <v/>
      </c>
    </row>
    <row r="2222">
      <c r="A2222" s="1" t="n">
        <v>2220</v>
      </c>
      <c r="B2222" t="n">
        <v>2018</v>
      </c>
      <c r="C2222" s="2" t="n">
        <v>43196.43649731481</v>
      </c>
      <c r="D2222" t="inlineStr">
        <is>
          <t>G1</t>
        </is>
      </c>
      <c r="E2222" t="inlineStr">
        <is>
          <t>VENEZUELANOS</t>
        </is>
      </c>
      <c r="F2222" t="inlineStr">
        <is>
          <t>AMAZONAS</t>
        </is>
      </c>
      <c r="G2222" t="inlineStr">
        <is>
          <t>G1 AM</t>
        </is>
      </c>
      <c r="H2222" t="inlineStr">
        <is>
          <t>VENEZUELANA É ASSALTADA EM RUA NA ZONA LESTE DE MANAUS, DIZ PM</t>
        </is>
      </c>
      <c r="I2222" t="inlineStr">
        <is>
          <t>POLÍCIA ENCONTROU A MULHER E CINCO CRIANÇAS CAMINHANDO DURANTE A MADRUGADA.</t>
        </is>
      </c>
      <c r="J2222">
        <f>HYPERLINK("https://g1.globo.com/am/amazonas/noticia/venezuelana-e-assaltada-em-rua-na-zona-leste-de-manaus-diz-pm.ghtml", "URL")</f>
        <v/>
      </c>
      <c r="K2222">
        <f>HYPERLINK("https://raw.githubusercontent.com/marcosmapl/dataset_imigrantes/main/noticias_filtered/g1/venezuelanos/2018/03_abr/html/g1_a3c6def6-232b-11ed-b24f-6dbe51e79fca_4260.html", "HTML")</f>
        <v/>
      </c>
      <c r="L2222">
        <f>HYPERLINK("https://raw.githubusercontent.com/marcosmapl/dataset_imigrantes/main/noticias_filtered/g1/venezuelanos/2018/03_abr/txt/g1_a3c6def6-232b-11ed-b24f-6dbe51e79fca_4260.txt", "TXT")</f>
        <v/>
      </c>
    </row>
    <row r="2223">
      <c r="A2223" s="1" t="n">
        <v>2221</v>
      </c>
      <c r="B2223" t="n">
        <v>2018</v>
      </c>
      <c r="C2223" s="2" t="n">
        <v>43195.56527777778</v>
      </c>
      <c r="D2223" t="inlineStr">
        <is>
          <t>PORTAL AMAZONIA</t>
        </is>
      </c>
      <c r="E2223" t="inlineStr">
        <is>
          <t>VENEZUELANOS</t>
        </is>
      </c>
      <c r="F2223" t="inlineStr">
        <is>
          <t>CIDADES</t>
        </is>
      </c>
      <c r="G2223" t="inlineStr">
        <is>
          <t>REDAÇÃO</t>
        </is>
      </c>
      <c r="H2223" t="inlineStr">
        <is>
          <t>VENEZUELANOS COMEÇAM A DEIXAR RORAIMA E SÃO ABRIGADOS EM CUIABÁ</t>
        </is>
      </c>
      <c r="I2223" t="inlineStr">
        <is>
          <t>O PROCESSO DE INTERIORIZAÇÃO DE IMIGRANTES VENEZUELANOS QUE ESTÃO EM RORAIMA PARA OUTROS ESTADOS COMEÇA NESTA QUINTA-FEIRA (5). ATÉ AMANHÃ, SEXTA-FEIRA(6), 267 IMIGRANTES SERÃO LEVADOS PARA SÃO PAULO E CUIABÁ POR AVIÕES DA FORÇA AÉREA BRASILEIRA (FAB</t>
        </is>
      </c>
      <c r="J2223">
        <f>HYPERLINK("https://portalamazonia.com/noticias/cidades/venezuelanos-comecam-a-deixar-roraima-e-sao-abrigados-em-cuiaba", "URL")</f>
        <v/>
      </c>
      <c r="K2223">
        <f>HYPERLINK("https://raw.githubusercontent.com/marcosmapl/dataset_imigrantes/main/noticias_filtered/portal_amazonia/venezuelanos/2018/03_abr/html/13166.13166_1448.html", "HTML")</f>
        <v/>
      </c>
      <c r="L2223">
        <f>HYPERLINK("https://raw.githubusercontent.com/marcosmapl/dataset_imigrantes/main/noticias_filtered/portal_amazonia/venezuelanos/2018/03_abr/txt/13166.13166_1448.txt", "TXT")</f>
        <v/>
      </c>
    </row>
    <row r="2224">
      <c r="A2224" s="1" t="n">
        <v>2222</v>
      </c>
      <c r="B2224" t="n">
        <v>2018</v>
      </c>
      <c r="C2224" s="2" t="n">
        <v>43194.77811959491</v>
      </c>
      <c r="D2224" t="inlineStr">
        <is>
          <t>G1</t>
        </is>
      </c>
      <c r="E2224" t="inlineStr">
        <is>
          <t>VENEZUELANOS</t>
        </is>
      </c>
      <c r="F2224" t="inlineStr">
        <is>
          <t>RORAIMA</t>
        </is>
      </c>
      <c r="G2224" t="inlineStr">
        <is>
          <t>G1 RR</t>
        </is>
      </c>
      <c r="H2224" t="inlineStr">
        <is>
          <t>MULHER É PRESA EM AEROPORTO DE RR COM MUNIÇÃO DE COMPANHIA MILITAR VENEZUELANA</t>
        </is>
      </c>
      <c r="I2224" t="inlineStr">
        <is>
          <t>SUSPEITA CONFESSOU O CRIME E DISSE QUE CONSEGUIU PROJÉTIL APÓS CONFRONTO DE GANGUES NA VENEZUELA. PRISÃO OCORREU NA MADRUGADA DESTA QUARTA (4).</t>
        </is>
      </c>
      <c r="J2224">
        <f>HYPERLINK("https://g1.globo.com/rr/roraima/noticia/mulher-e-presa-em-aeroporto-de-rr-com-municao-de-companhia-militar-venezuelana.ghtml", "URL")</f>
        <v/>
      </c>
      <c r="K2224">
        <f>HYPERLINK("https://raw.githubusercontent.com/marcosmapl/dataset_imigrantes/main/noticias_filtered/g1/venezuelanos/2018/03_abr/html/g1_5b025728-2316-11ed-b24f-6dbe51e79fca_3142.html", "HTML")</f>
        <v/>
      </c>
      <c r="L2224">
        <f>HYPERLINK("https://raw.githubusercontent.com/marcosmapl/dataset_imigrantes/main/noticias_filtered/g1/venezuelanos/2018/03_abr/txt/g1_5b025728-2316-11ed-b24f-6dbe51e79fca_3142.txt", "TXT")</f>
        <v/>
      </c>
    </row>
    <row r="2225">
      <c r="A2225" s="1" t="n">
        <v>2223</v>
      </c>
      <c r="B2225" t="n">
        <v>2018</v>
      </c>
      <c r="C2225" s="2" t="n">
        <v>43194.46752408564</v>
      </c>
      <c r="D2225" t="inlineStr">
        <is>
          <t>G1</t>
        </is>
      </c>
      <c r="E2225" t="inlineStr">
        <is>
          <t>HAITIANOS</t>
        </is>
      </c>
      <c r="F2225" t="inlineStr">
        <is>
          <t>MUNDO</t>
        </is>
      </c>
      <c r="G2225" t="inlineStr">
        <is>
          <t>FRANCE PRESSE</t>
        </is>
      </c>
      <c r="H2225" t="inlineStr">
        <is>
          <t>OBRAS DE ARTE DESAPARECEM DA ASSEMBLEIA NACIONAL DA FRANÇA</t>
        </is>
      </c>
      <c r="I2225" t="inlineStr">
        <is>
          <t>RECENTE INVENTÁRIO CONSTATOU A FALTA DE QUATRO OBRAS.</t>
        </is>
      </c>
      <c r="J2225">
        <f>HYPERLINK("https://g1.globo.com/mundo/noticia/obras-de-arte-desaparecem-da-assembleia-nacional-da-franca.ghtml", "URL")</f>
        <v/>
      </c>
      <c r="K2225">
        <f>HYPERLINK("https://raw.githubusercontent.com/marcosmapl/dataset_imigrantes/main/noticias_filtered/g1/haitianos/2018/03_abr/html/g1_f2112a1a-22ec-11ed-b24f-6dbe51e79fca_1673.html", "HTML")</f>
        <v/>
      </c>
      <c r="L2225">
        <f>HYPERLINK("https://raw.githubusercontent.com/marcosmapl/dataset_imigrantes/main/noticias_filtered/g1/haitianos/2018/03_abr/txt/g1_f2112a1a-22ec-11ed-b24f-6dbe51e79fca_1673.txt", "TXT")</f>
        <v/>
      </c>
    </row>
    <row r="2226">
      <c r="A2226" s="1" t="n">
        <v>2224</v>
      </c>
      <c r="B2226" t="n">
        <v>2018</v>
      </c>
      <c r="C2226" s="2" t="n">
        <v>43193.83157407407</v>
      </c>
      <c r="D2226" t="inlineStr">
        <is>
          <t>A CRITICA</t>
        </is>
      </c>
      <c r="E2226" t="inlineStr">
        <is>
          <t>VENEZUELANOS</t>
        </is>
      </c>
      <c r="F2226" t="inlineStr"/>
      <c r="G2226" t="inlineStr">
        <is>
          <t>JOANA QUEIROZ</t>
        </is>
      </c>
      <c r="H2226" t="inlineStr">
        <is>
          <t>AUTORIDADES DO AM DEFENDEM INTERVENÇÃO FEDERAL NAS FRONTEIRAS PARA BARRAR ARMAS</t>
        </is>
      </c>
      <c r="I2226" t="inlineStr">
        <is>
          <t>DIVISAS COM A VENEZUELA, COLÔMBIA E PERU SERIAM MONITORADAS POR CONTA DA GRANDE ENTRADA DE ARMAS NO BRASIL. ARMAS SÃO FRUTO DE ROUBOS OU DESVIOS NOS PAÍSES VIZINHOS</t>
        </is>
      </c>
      <c r="J2226">
        <f>HYPERLINK("https://www.acritica.com/autoridades-do-am-defendem-intervenc-o-federal-nas-fronteiras-para-barrar-armas-1.184574", "URL")</f>
        <v/>
      </c>
      <c r="K2226">
        <f>HYPERLINK("https://raw.githubusercontent.com/marcosmapl/dataset_imigrantes/main/noticias_filtered/a_critica/venezuelanos/2018/03_abr/html/1.184574_909.html", "HTML")</f>
        <v/>
      </c>
      <c r="L2226">
        <f>HYPERLINK("https://raw.githubusercontent.com/marcosmapl/dataset_imigrantes/main/noticias_filtered/a_critica/venezuelanos/2018/03_abr/txt/1.184574_909.txt", "TXT")</f>
        <v/>
      </c>
    </row>
    <row r="2227">
      <c r="A2227" s="1" t="n">
        <v>2225</v>
      </c>
      <c r="B2227" t="n">
        <v>2018</v>
      </c>
      <c r="C2227" s="2" t="n">
        <v>43193.51597222222</v>
      </c>
      <c r="D2227" t="inlineStr">
        <is>
          <t>PORTAL AMAZONIA</t>
        </is>
      </c>
      <c r="E2227" t="inlineStr">
        <is>
          <t>VENEZUELANOS</t>
        </is>
      </c>
      <c r="F2227" t="inlineStr">
        <is>
          <t>CIDADES</t>
        </is>
      </c>
      <c r="G2227" t="inlineStr">
        <is>
          <t>REDAÇÃO</t>
        </is>
      </c>
      <c r="H2227" t="inlineStr">
        <is>
          <t>MANAUS RECEBERÁ 70 VENEZUELANOS TRANSFERIDOS DE RORAIMA, NESTA SEMANA</t>
        </is>
      </c>
      <c r="I2227" t="inlineStr">
        <is>
          <t>EM TORNO DE 550 VENEZUELANOS QUE ESTÃO EM RORAIMA SERÃO TRANSFERIDOS PARA OUTROS ESTADOS A PARTIR DESTA SEMANA. ELES EMIGRARAM FUGINDO DA SITUAÇÃO POLÍTICA E ECONÔMICA DO PAÍS NATAL EM UM MOVIMENTO QUE LEVOU QUASE 40 MIL A TENTAREM A VIDA NO BRASIL.U</t>
        </is>
      </c>
      <c r="J2227">
        <f>HYPERLINK("https://portalamazonia.com/noticias/cidades/manaus-recebera-70-venezuelanos-transferidos-de-roraima-nesta-semana", "URL")</f>
        <v/>
      </c>
      <c r="K2227">
        <f>HYPERLINK("https://raw.githubusercontent.com/marcosmapl/dataset_imigrantes/main/noticias_filtered/portal_amazonia/venezuelanos/2018/03_abr/html/13123.13123_1525.html", "HTML")</f>
        <v/>
      </c>
      <c r="L2227">
        <f>HYPERLINK("https://raw.githubusercontent.com/marcosmapl/dataset_imigrantes/main/noticias_filtered/portal_amazonia/venezuelanos/2018/03_abr/txt/13123.13123_1525.txt", "TXT")</f>
        <v/>
      </c>
    </row>
    <row r="2228">
      <c r="A2228" s="1" t="n">
        <v>2226</v>
      </c>
      <c r="B2228" t="n">
        <v>2018</v>
      </c>
      <c r="C2228" s="2" t="n">
        <v>43191.92946126158</v>
      </c>
      <c r="D2228" t="inlineStr">
        <is>
          <t>G1</t>
        </is>
      </c>
      <c r="E2228" t="inlineStr">
        <is>
          <t>HAITIANOS</t>
        </is>
      </c>
      <c r="F2228" t="inlineStr">
        <is>
          <t>MINAS GERAIS</t>
        </is>
      </c>
      <c r="G2228" t="inlineStr">
        <is>
          <t>G1 MG — BELO HORIZONTE</t>
        </is>
      </c>
      <c r="H2228" t="inlineStr">
        <is>
          <t>HAITIANA É AGREDIDA DURANTE ASSALTO NA REGIÃO DA PAMPULHA, EM BH</t>
        </is>
      </c>
      <c r="I2228" t="inlineStr">
        <is>
          <t>SEGUNDO A PM, ELA FAZ INTERCÂMBIO NO BRASIL E ESTUDA NA UFMG. DOIS SUSPEITOS FORAM PRESOS.</t>
        </is>
      </c>
      <c r="J2228">
        <f>HYPERLINK("https://g1.globo.com/mg/minas-gerais/noticia/haitiana-e-agredida-durante-assalto-na-regiao-da-pampulha-em-bh.ghtml", "URL")</f>
        <v/>
      </c>
      <c r="K2228">
        <f>HYPERLINK("https://raw.githubusercontent.com/marcosmapl/dataset_imigrantes/main/noticias_filtered/g1/haitianos/2018/03_abr/html/g1_e491fee2-230e-11ed-b24f-6dbe51e79fca_2764.html", "HTML")</f>
        <v/>
      </c>
      <c r="L2228">
        <f>HYPERLINK("https://raw.githubusercontent.com/marcosmapl/dataset_imigrantes/main/noticias_filtered/g1/haitianos/2018/03_abr/txt/g1_e491fee2-230e-11ed-b24f-6dbe51e79fca_2764.txt", "TXT")</f>
        <v/>
      </c>
    </row>
    <row r="2229">
      <c r="A2229" s="1" t="n">
        <v>2227</v>
      </c>
      <c r="B2229" t="n">
        <v>2018</v>
      </c>
      <c r="C2229" s="2" t="n">
        <v>43191.73472222222</v>
      </c>
      <c r="D2229" t="inlineStr">
        <is>
          <t>PORTAL AMAZONIA</t>
        </is>
      </c>
      <c r="E2229" t="inlineStr">
        <is>
          <t>VENEZUELANOS</t>
        </is>
      </c>
      <c r="F2229" t="inlineStr">
        <is>
          <t>CIDADES</t>
        </is>
      </c>
      <c r="G2229" t="inlineStr">
        <is>
          <t>REDAÇÃO</t>
        </is>
      </c>
      <c r="H2229" t="inlineStr">
        <is>
          <t>TAPUMES SÃO INSTALADOS NA PRAÇA SIMÓN BOLÍVAR, EM BOA VISTA</t>
        </is>
      </c>
      <c r="I2229" t="inlineStr">
        <is>
          <t>A ASSESSORIA DA PREFEITURA DE BOA VISTA, EM RORAIMA, CONFIRMOU A INSTALAÇÃO DE TAPUMES EM TORNO DA PRAÇA SIMÓN BOLÍVAR DURANTE ESTE FINAL DE SEMANA. ELA AFIRMA QUE OS TAPUMES FAZEM PARTE DE UMA AÇÃO JÁ PREVISTA DE MANUTENÇÃO DAS PRAÇAS DA CAPITAL.A O</t>
        </is>
      </c>
      <c r="J2229">
        <f>HYPERLINK("https://portalamazonia.com/noticias/cidades/tapumes-sao-instalados-na-praca-simon-bolivar-em-boa-vista", "URL")</f>
        <v/>
      </c>
      <c r="K2229">
        <f>HYPERLINK("https://raw.githubusercontent.com/marcosmapl/dataset_imigrantes/main/noticias_filtered/portal_amazonia/venezuelanos/2018/03_abr/html/13090.13090_1408.html", "HTML")</f>
        <v/>
      </c>
      <c r="L2229">
        <f>HYPERLINK("https://raw.githubusercontent.com/marcosmapl/dataset_imigrantes/main/noticias_filtered/portal_amazonia/venezuelanos/2018/03_abr/txt/13090.13090_1408.txt", "TXT")</f>
        <v/>
      </c>
    </row>
    <row r="2230">
      <c r="A2230" s="1" t="n">
        <v>2228</v>
      </c>
      <c r="B2230" t="n">
        <v>2018</v>
      </c>
      <c r="C2230" s="2" t="n">
        <v>43187.81290962963</v>
      </c>
      <c r="D2230" t="inlineStr">
        <is>
          <t>G1</t>
        </is>
      </c>
      <c r="E2230" t="inlineStr">
        <is>
          <t>VENEZUELANOS</t>
        </is>
      </c>
      <c r="F2230" t="inlineStr">
        <is>
          <t>MUNDO</t>
        </is>
      </c>
      <c r="G2230" t="inlineStr">
        <is>
          <t>FRANCE PRESSE</t>
        </is>
      </c>
      <c r="H2230" t="inlineStr">
        <is>
          <t>SUÍÇA ANUNCIA SANÇÕES CONTRA SETE AUTORIDADES VENEZUELANAS</t>
        </is>
      </c>
      <c r="I2230" t="inlineStr">
        <is>
          <t>PAÍS CONGELOU ATIVOS E PROIBIU ENTRADA EM SEU TERRITÓRIO. ENTRE OS ATINGIDOS ESTÃO DIOSDADO CABELLO, NÚMERO DOIS DO CHAVISMO, E MAIKEL MORENO, PRESIDENTE DA SUPREMA CORTE.</t>
        </is>
      </c>
      <c r="J2230">
        <f>HYPERLINK("https://g1.globo.com/mundo/noticia/suica-anuncia-sancoes-contra-sete-autoridades-venezuelanas.ghtml", "URL")</f>
        <v/>
      </c>
      <c r="K2230">
        <f>HYPERLINK("https://raw.githubusercontent.com/marcosmapl/dataset_imigrantes/main/noticias_filtered/g1/venezuelanos/2018/02_mar/html/g1_a2d61304-2312-11ed-b24f-6dbe51e79fca_2974.html", "HTML")</f>
        <v/>
      </c>
      <c r="L2230">
        <f>HYPERLINK("https://raw.githubusercontent.com/marcosmapl/dataset_imigrantes/main/noticias_filtered/g1/venezuelanos/2018/02_mar/txt/g1_a2d61304-2312-11ed-b24f-6dbe51e79fca_2974.txt", "TXT")</f>
        <v/>
      </c>
    </row>
    <row r="2231">
      <c r="A2231" s="1" t="n">
        <v>2229</v>
      </c>
      <c r="B2231" t="n">
        <v>2018</v>
      </c>
      <c r="C2231" s="2" t="n">
        <v>43186.87013888889</v>
      </c>
      <c r="D2231" t="inlineStr">
        <is>
          <t>PORTAL AMAZONIA</t>
        </is>
      </c>
      <c r="E2231" t="inlineStr">
        <is>
          <t>VENEZUELANOS</t>
        </is>
      </c>
      <c r="F2231" t="inlineStr">
        <is>
          <t>CIDADES</t>
        </is>
      </c>
      <c r="G2231" t="inlineStr">
        <is>
          <t>REDAÇÃO</t>
        </is>
      </c>
      <c r="H2231" t="inlineStr">
        <is>
          <t>ITÁLIA DOA 250 MIL EUROS PARA AJUDAR RORAIMA COM VENEZUELANOS</t>
        </is>
      </c>
      <c r="I2231" t="inlineStr">
        <is>
          <t>FOTO:REPRODUÇÃO/HUMAN RIGHTS WATCHA ITÁLIA DOARÁ 250 MIL EUROS (CERCA DE R$ 1 MILHÃO) PARA O ALTO COMISSARIADO DAS NAÇÕES UNIDAS PARA OS REFUGIADOS (ACNUR), COM O OBJETIVO DE AJUDAR NO COMBATE À CRISE HUMANITÁRIA NA FRONTEIRA ENTRE&amp;NBS</t>
        </is>
      </c>
      <c r="J2231">
        <f>HYPERLINK("https://portalamazonia.com/noticias/cidades/italia-doa-250-mil-euros-para-ajudar-roraima-com-venezuelanos", "URL")</f>
        <v/>
      </c>
      <c r="K2231">
        <f>HYPERLINK("https://raw.githubusercontent.com/marcosmapl/dataset_imigrantes/main/noticias_filtered/portal_amazonia/venezuelanos/2018/02_mar/html/13018.13018_1568.html", "HTML")</f>
        <v/>
      </c>
      <c r="L2231">
        <f>HYPERLINK("https://raw.githubusercontent.com/marcosmapl/dataset_imigrantes/main/noticias_filtered/portal_amazonia/venezuelanos/2018/02_mar/txt/13018.13018_1568.txt", "TXT")</f>
        <v/>
      </c>
    </row>
    <row r="2232">
      <c r="A2232" s="1" t="n">
        <v>2230</v>
      </c>
      <c r="B2232" t="n">
        <v>2018</v>
      </c>
      <c r="C2232" s="2" t="n">
        <v>43185.55555555555</v>
      </c>
      <c r="D2232" t="inlineStr">
        <is>
          <t>PORTAL AMAZONIA</t>
        </is>
      </c>
      <c r="E2232" t="inlineStr">
        <is>
          <t>VENEZUELANOS</t>
        </is>
      </c>
      <c r="F2232" t="inlineStr">
        <is>
          <t>NOTÍCIAS</t>
        </is>
      </c>
      <c r="G2232" t="inlineStr">
        <is>
          <t>REDAÇÃO</t>
        </is>
      </c>
      <c r="H2232" t="inlineStr">
        <is>
          <t>MADURO TERIA LIBERADO US$ 4 BI À ODEBRECHT APÓS ELEIÇÃO</t>
        </is>
      </c>
      <c r="I2232" t="inlineStr">
        <is>
          <t>O PRESIDENTE DA VENEZUELA, NICOLÁS MADURO, TERIA LIBERADO MAIS DE US$ 4 BILHÕES PARA OBRAS DA ODEBRECHT NO PAÍS FINANCIADAS PELO BANCO NACIONAL DE DESENVOLVIMENTO ECONÔMICO E SOCIAL (BNDES). AS INFORMAÇÕES SÃO DA ANSA.A DENÚNCIA É DO JORNAL O ESTADO</t>
        </is>
      </c>
      <c r="J2232">
        <f>HYPERLINK("https://portalamazonia.com/noticias/maduro-teria-liberado-us-4-bi-a-odebrecht-apos-eleicao", "URL")</f>
        <v/>
      </c>
      <c r="K2232">
        <f>HYPERLINK("https://raw.githubusercontent.com/marcosmapl/dataset_imigrantes/main/noticias_filtered/portal_amazonia/venezuelanos/2018/02_mar/html/12975.29989_1573.html", "HTML")</f>
        <v/>
      </c>
      <c r="L2232">
        <f>HYPERLINK("https://raw.githubusercontent.com/marcosmapl/dataset_imigrantes/main/noticias_filtered/portal_amazonia/venezuelanos/2018/02_mar/txt/12975.29989_1573.txt", "TXT")</f>
        <v/>
      </c>
    </row>
    <row r="2233">
      <c r="A2233" s="1" t="n">
        <v>2231</v>
      </c>
      <c r="B2233" t="n">
        <v>2018</v>
      </c>
      <c r="C2233" s="2" t="n">
        <v>43183.125</v>
      </c>
      <c r="D2233" t="inlineStr">
        <is>
          <t>A CRITICA</t>
        </is>
      </c>
      <c r="E2233" t="inlineStr">
        <is>
          <t>VENEZUELANOS</t>
        </is>
      </c>
      <c r="F2233" t="inlineStr">
        <is>
          <t>OPINIAO</t>
        </is>
      </c>
      <c r="G2233" t="inlineStr">
        <is>
          <t>ORLANDO CÂMARA</t>
        </is>
      </c>
      <c r="H2233" t="inlineStr">
        <is>
          <t>LIMITES</t>
        </is>
      </c>
      <c r="I2233" t="inlineStr">
        <is>
          <t>CRÔNICAS DE DOMINGO - 25 DE MARÇO DE 2018</t>
        </is>
      </c>
      <c r="J2233">
        <f>HYPERLINK("https://www.acritica.com/opiniao/limites-1.217149", "URL")</f>
        <v/>
      </c>
      <c r="K2233">
        <f>HYPERLINK("https://raw.githubusercontent.com/marcosmapl/dataset_imigrantes/main/noticias_filtered/a_critica/venezuelanos/2018/02_mar/html/1.217149_691.html", "HTML")</f>
        <v/>
      </c>
      <c r="L2233">
        <f>HYPERLINK("https://raw.githubusercontent.com/marcosmapl/dataset_imigrantes/main/noticias_filtered/a_critica/venezuelanos/2018/02_mar/txt/1.217149_691.txt", "TXT")</f>
        <v/>
      </c>
    </row>
    <row r="2234">
      <c r="A2234" s="1" t="n">
        <v>2232</v>
      </c>
      <c r="B2234" t="n">
        <v>2018</v>
      </c>
      <c r="C2234" s="2" t="n">
        <v>43181.47457881944</v>
      </c>
      <c r="D2234" t="inlineStr">
        <is>
          <t>G1</t>
        </is>
      </c>
      <c r="E2234" t="inlineStr">
        <is>
          <t>VENEZUELANOS</t>
        </is>
      </c>
      <c r="F2234" t="inlineStr">
        <is>
          <t>SANTARÉM E REGIÃO</t>
        </is>
      </c>
      <c r="G2234" t="inlineStr">
        <is>
          <t>DOMINIQUE CAVALEIRO, G1 SANTARÉM, PA</t>
        </is>
      </c>
      <c r="H2234" t="inlineStr">
        <is>
          <t>EM ÓBIDOS, PF PRENDE MULHER SUSPEITA DE ALICIAR VENEZUELANAS PARA PROSTITUIÇÃO</t>
        </is>
      </c>
      <c r="I2234" t="inlineStr">
        <is>
          <t>SUSPEITA ESTAVA EM UMA EMBARCAÇÃO QUE SAIU DE MANAUS COM DESTINO À SANTARÉM. PRISÃO ACONTECEU DURANTE FISCALIZAÇÕES DA OPERAÇÃO SENTINELA.</t>
        </is>
      </c>
      <c r="J2234">
        <f>HYPERLINK("https://g1.globo.com/pa/santarem-regiao/noticia/em-obidos-pf-prende-mulher-suspeita-de-aliciar-venezuelanas-para-prostituicao.ghtml", "URL")</f>
        <v/>
      </c>
      <c r="K2234">
        <f>HYPERLINK("https://raw.githubusercontent.com/marcosmapl/dataset_imigrantes/main/noticias_filtered/g1/venezuelanos/2018/02_mar/html/g1_7520edbe-231a-11ed-b24f-6dbe51e79fca_3336.html", "HTML")</f>
        <v/>
      </c>
      <c r="L2234">
        <f>HYPERLINK("https://raw.githubusercontent.com/marcosmapl/dataset_imigrantes/main/noticias_filtered/g1/venezuelanos/2018/02_mar/txt/g1_7520edbe-231a-11ed-b24f-6dbe51e79fca_3336.txt", "TXT")</f>
        <v/>
      </c>
    </row>
    <row r="2235">
      <c r="A2235" s="1" t="n">
        <v>2233</v>
      </c>
      <c r="B2235" t="n">
        <v>2018</v>
      </c>
      <c r="C2235" s="2" t="n">
        <v>43180.85293243056</v>
      </c>
      <c r="D2235" t="inlineStr">
        <is>
          <t>G1</t>
        </is>
      </c>
      <c r="E2235" t="inlineStr">
        <is>
          <t>VENEZUELANOS</t>
        </is>
      </c>
      <c r="F2235" t="inlineStr">
        <is>
          <t>RORAIMA</t>
        </is>
      </c>
      <c r="G2235" t="inlineStr">
        <is>
          <t>G1 RR</t>
        </is>
      </c>
      <c r="H2235" t="inlineStr">
        <is>
          <t>MINISTRO DO TRABALHO DISCUTE MIGRAÇÃO VENEZUELANA COM REPRESENTANTE DA OEA</t>
        </is>
      </c>
      <c r="I2235" t="inlineStr">
        <is>
          <t>VENEZUELANOS ENTRAM NO BRASIL POR RORAIMA E BUSCAM TRABALHO E MELHORES CONDIÇÕES DE VIDA.</t>
        </is>
      </c>
      <c r="J2235">
        <f>HYPERLINK("https://g1.globo.com/rr/roraima/noticia/ministro-do-trabalho-discute-migracao-venezuelana-com-representante-da-oea.ghtml", "URL")</f>
        <v/>
      </c>
      <c r="K2235">
        <f>HYPERLINK("https://raw.githubusercontent.com/marcosmapl/dataset_imigrantes/main/noticias_filtered/g1/venezuelanos/2018/02_mar/html/g1_1a8c1fbe-2323-11ed-b24f-6dbe51e79fca_3788.html", "HTML")</f>
        <v/>
      </c>
      <c r="L2235">
        <f>HYPERLINK("https://raw.githubusercontent.com/marcosmapl/dataset_imigrantes/main/noticias_filtered/g1/venezuelanos/2018/02_mar/txt/g1_1a8c1fbe-2323-11ed-b24f-6dbe51e79fca_3788.txt", "TXT")</f>
        <v/>
      </c>
    </row>
    <row r="2236">
      <c r="A2236" s="1" t="n">
        <v>2234</v>
      </c>
      <c r="B2236" t="n">
        <v>2018</v>
      </c>
      <c r="C2236" s="2" t="n">
        <v>43180.71324074074</v>
      </c>
      <c r="D2236" t="inlineStr">
        <is>
          <t>A CRITICA</t>
        </is>
      </c>
      <c r="E2236" t="inlineStr">
        <is>
          <t>VENEZUELANOS</t>
        </is>
      </c>
      <c r="F2236" t="inlineStr"/>
      <c r="G2236" t="inlineStr">
        <is>
          <t>KARINE MELO - AGÊNCIA BRASIL</t>
        </is>
      </c>
      <c r="H2236" t="inlineStr">
        <is>
          <t>MINISTRO PEDE AJUDA À OMS PARA OBRIGAR VENEZUELANOS A SEREM VACINADOS</t>
        </is>
      </c>
      <c r="I2236" t="inlineStr">
        <is>
          <t>O PEDIDO FOI FEITO EM RAZÃO DO GRANDE NÚMERO DE CASOS DE SARAMPO QUE TÊM SIDO NOTIFICADOS EM RORAIMA, A PARTIR DA VINDA DE VENEZUELANOS PARA O BRASIL</t>
        </is>
      </c>
      <c r="J2236">
        <f>HYPERLINK("https://www.acritica.com/ministro-pede-ajuda-a-oms-para-obrigar-venezuelanos-a-serem-vacinados-1.182324", "URL")</f>
        <v/>
      </c>
      <c r="K2236">
        <f>HYPERLINK("https://raw.githubusercontent.com/marcosmapl/dataset_imigrantes/main/noticias_filtered/a_critica/venezuelanos/2018/02_mar/html/1.182324_203.html", "HTML")</f>
        <v/>
      </c>
      <c r="L2236">
        <f>HYPERLINK("https://raw.githubusercontent.com/marcosmapl/dataset_imigrantes/main/noticias_filtered/a_critica/venezuelanos/2018/02_mar/txt/1.182324_203.txt", "TXT")</f>
        <v/>
      </c>
    </row>
    <row r="2237">
      <c r="A2237" s="1" t="n">
        <v>2235</v>
      </c>
      <c r="B2237" t="n">
        <v>2018</v>
      </c>
      <c r="C2237" s="2" t="n">
        <v>43179.97277777778</v>
      </c>
      <c r="D2237" t="inlineStr">
        <is>
          <t>A CRITICA</t>
        </is>
      </c>
      <c r="E2237" t="inlineStr">
        <is>
          <t>VENEZUELANOS</t>
        </is>
      </c>
      <c r="F2237" t="inlineStr"/>
      <c r="G2237" t="inlineStr"/>
      <c r="H2237" t="inlineStr">
        <is>
          <t>DESERTO DE MÉDICOS NO INTERIOR</t>
        </is>
      </c>
      <c r="I2237" t="inlineStr"/>
      <c r="J2237">
        <f>HYPERLINK("https://www.acritica.com/deserto-de-medicos-no-interior-1.229721", "URL")</f>
        <v/>
      </c>
      <c r="K2237">
        <f>HYPERLINK("https://raw.githubusercontent.com/marcosmapl/dataset_imigrantes/main/noticias_filtered/a_critica/venezuelanos/2018/02_mar/html/1.229721_1236.html", "HTML")</f>
        <v/>
      </c>
      <c r="L2237">
        <f>HYPERLINK("https://raw.githubusercontent.com/marcosmapl/dataset_imigrantes/main/noticias_filtered/a_critica/venezuelanos/2018/02_mar/txt/1.229721_1236.txt", "TXT")</f>
        <v/>
      </c>
    </row>
    <row r="2238">
      <c r="A2238" s="1" t="n">
        <v>2236</v>
      </c>
      <c r="B2238" t="n">
        <v>2018</v>
      </c>
      <c r="C2238" s="2" t="n">
        <v>43179.78304398148</v>
      </c>
      <c r="D2238" t="inlineStr">
        <is>
          <t>A CRITICA</t>
        </is>
      </c>
      <c r="E2238" t="inlineStr">
        <is>
          <t>VENEZUELANOS</t>
        </is>
      </c>
      <c r="F2238" t="inlineStr"/>
      <c r="G2238" t="inlineStr">
        <is>
          <t>LETYCIA BOND (AGÊNCIA BRASIL)</t>
        </is>
      </c>
      <c r="H2238" t="inlineStr">
        <is>
          <t>GRUPO INVADE ABRIGO E QUEIMA PERTENCES DE VENEZUELANOS EM CIDADE DE RORAIMA</t>
        </is>
      </c>
      <c r="I2238" t="inlineStr">
        <is>
          <t>O PROTESTO OCORREU APÓS MORADORES TEREM FICADO REVOLTADOS COM A MORTE DE UM BRASILEIRO, SUPOSTAMENTE MORTO DURANTE BRIGA COM VENEZUELANOS EM UM BAR</t>
        </is>
      </c>
      <c r="J2238">
        <f>HYPERLINK("https://www.acritica.com/grupo-invade-abrigo-e-queima-pertences-de-venezuelanos-em-cidade-de-roraima-1.182227", "URL")</f>
        <v/>
      </c>
      <c r="K2238">
        <f>HYPERLINK("https://raw.githubusercontent.com/marcosmapl/dataset_imigrantes/main/noticias_filtered/a_critica/venezuelanos/2018/02_mar/html/1.182227_294.html", "HTML")</f>
        <v/>
      </c>
      <c r="L2238">
        <f>HYPERLINK("https://raw.githubusercontent.com/marcosmapl/dataset_imigrantes/main/noticias_filtered/a_critica/venezuelanos/2018/02_mar/txt/1.182227_294.txt", "TXT")</f>
        <v/>
      </c>
    </row>
    <row r="2239">
      <c r="A2239" s="1" t="n">
        <v>2237</v>
      </c>
      <c r="B2239" t="n">
        <v>2018</v>
      </c>
      <c r="C2239" s="2" t="n">
        <v>43179.59444444445</v>
      </c>
      <c r="D2239" t="inlineStr">
        <is>
          <t>PORTAL AMAZONIA</t>
        </is>
      </c>
      <c r="E2239" t="inlineStr">
        <is>
          <t>VENEZUELANOS</t>
        </is>
      </c>
      <c r="F2239" t="inlineStr">
        <is>
          <t>CIDADES</t>
        </is>
      </c>
      <c r="G2239" t="inlineStr">
        <is>
          <t>REDAÇÃO</t>
        </is>
      </c>
      <c r="H2239" t="inlineStr">
        <is>
          <t>INTERIORIZAÇÃO DE VENEZUELANOS PARA SÃO PAULO E MANAUS COMEÇA EM ABRIL</t>
        </is>
      </c>
      <c r="I2239" t="inlineStr">
        <is>
          <t>O PROCESSO DE INTERIORIZAÇÃO DOS IMIGRANTES VENEZUELANOS QUE ESTÃO EM RORAIMA COMEÇA NO MÊS DE ABRIL, COM O TRANSPORTE DE PARTE DELES PARA AS CIDADES DE SÃO PAULO E MANAUS, INFORMOU A CASA CIVIL DO GOVERNO ESTADUAL. O OBJETIVO É LEVÁ-LOS A OUTROS EST</t>
        </is>
      </c>
      <c r="J2239">
        <f>HYPERLINK("https://portalamazonia.com/noticias/cidades/interiorizacao-de-venezuelanos-para-sao-paulo-e-manaus-comeca-em-abril", "URL")</f>
        <v/>
      </c>
      <c r="K2239">
        <f>HYPERLINK("https://raw.githubusercontent.com/marcosmapl/dataset_imigrantes/main/noticias_filtered/portal_amazonia/venezuelanos/2018/02_mar/html/12874.12874_1561.html", "HTML")</f>
        <v/>
      </c>
      <c r="L2239">
        <f>HYPERLINK("https://raw.githubusercontent.com/marcosmapl/dataset_imigrantes/main/noticias_filtered/portal_amazonia/venezuelanos/2018/02_mar/txt/12874.12874_1561.txt", "TXT")</f>
        <v/>
      </c>
    </row>
    <row r="2240">
      <c r="A2240" s="1" t="n">
        <v>2238</v>
      </c>
      <c r="B2240" t="n">
        <v>2018</v>
      </c>
      <c r="C2240" s="2" t="n">
        <v>43179.56445601852</v>
      </c>
      <c r="D2240" t="inlineStr">
        <is>
          <t>A CRITICA</t>
        </is>
      </c>
      <c r="E2240" t="inlineStr">
        <is>
          <t>VENEZUELANOS</t>
        </is>
      </c>
      <c r="F2240" t="inlineStr">
        <is>
          <t>MANAUS</t>
        </is>
      </c>
      <c r="G2240" t="inlineStr">
        <is>
          <t>ACRÍTICA.COM</t>
        </is>
      </c>
      <c r="H2240" t="inlineStr">
        <is>
          <t>INTERIORIZAÇÃO DE VENEZUELANOS ABRE 180 VAGAS PARA MANAUS A PARTIR DE ABRIL</t>
        </is>
      </c>
      <c r="I2240" t="inlineStr">
        <is>
          <t>VENEZUELANOS RECEBERÃO ABRIGO E APOIO EM MANAUS E SÃO PAULO, PROCESSO BUSCA OFERECER MELHOR ESTRUTURA E ALIVIAR SUPERLOTAÇÃO EM RORAIMAN</t>
        </is>
      </c>
      <c r="J2240">
        <f>HYPERLINK("https://www.acritica.com/manaus/interiorizac-o-de-venezuelanos-abre-180-vagas-para-manaus-a-partir-de-abril-1.182070", "URL")</f>
        <v/>
      </c>
      <c r="K2240">
        <f>HYPERLINK("https://raw.githubusercontent.com/marcosmapl/dataset_imigrantes/main/noticias_filtered/a_critica/venezuelanos/2018/02_mar/html/1.182070_661.html", "HTML")</f>
        <v/>
      </c>
      <c r="L2240">
        <f>HYPERLINK("https://raw.githubusercontent.com/marcosmapl/dataset_imigrantes/main/noticias_filtered/a_critica/venezuelanos/2018/02_mar/txt/1.182070_661.txt", "TXT")</f>
        <v/>
      </c>
    </row>
    <row r="2241">
      <c r="A2241" s="1" t="n">
        <v>2239</v>
      </c>
      <c r="B2241" t="n">
        <v>2018</v>
      </c>
      <c r="C2241" s="2" t="n">
        <v>43178.98546296296</v>
      </c>
      <c r="D2241" t="inlineStr">
        <is>
          <t>A CRITICA</t>
        </is>
      </c>
      <c r="E2241" t="inlineStr">
        <is>
          <t>VENEZUELANOS</t>
        </is>
      </c>
      <c r="F2241" t="inlineStr">
        <is>
          <t>MANAUS</t>
        </is>
      </c>
      <c r="G2241" t="inlineStr">
        <is>
          <t>ACRITICA.COM*</t>
        </is>
      </c>
      <c r="H2241" t="inlineStr">
        <is>
          <t>IMIGRANTES VENEZUELANOS SÃO ATENDIDOS POR MUTIRÃO DE CIDADANIA EM PAC DE MANAUS</t>
        </is>
      </c>
      <c r="I2241" t="inlineStr">
        <is>
          <t>VENEZUELANOS PUDERAM EMITIR CARTEIRA DE TRABALHO E CADASTRO DE PESSOA FÍSICA (CPF), REALIZAR EXAMES MÉDICOS, ALÉM DE RECEBER VACINAÇÃO. SERVIÇOS NA ZONA LESTE DA CAPITAL CONTINUAM NO SÁBADO (24)</t>
        </is>
      </c>
      <c r="J2241">
        <f>HYPERLINK("https://www.acritica.com/manaus/imigrantes-venezuelanos-s-o-atendidos-por-mutir-o-de-cidadania-em-pac-de-manaus-1.182100", "URL")</f>
        <v/>
      </c>
      <c r="K2241">
        <f>HYPERLINK("https://raw.githubusercontent.com/marcosmapl/dataset_imigrantes/main/noticias_filtered/a_critica/venezuelanos/2018/02_mar/html/1.182100_785.html", "HTML")</f>
        <v/>
      </c>
      <c r="L2241">
        <f>HYPERLINK("https://raw.githubusercontent.com/marcosmapl/dataset_imigrantes/main/noticias_filtered/a_critica/venezuelanos/2018/02_mar/txt/1.182100_785.txt", "TXT")</f>
        <v/>
      </c>
    </row>
    <row r="2242">
      <c r="A2242" s="1" t="n">
        <v>2240</v>
      </c>
      <c r="B2242" t="n">
        <v>2018</v>
      </c>
      <c r="C2242" s="2" t="n">
        <v>43175.63677083333</v>
      </c>
      <c r="D2242" t="inlineStr">
        <is>
          <t>A CRITICA</t>
        </is>
      </c>
      <c r="E2242" t="inlineStr">
        <is>
          <t>HAITIANOS</t>
        </is>
      </c>
      <c r="F2242" t="inlineStr">
        <is>
          <t>MANAUS</t>
        </is>
      </c>
      <c r="G2242" t="inlineStr">
        <is>
          <t>AMANDA GUIMARÃES</t>
        </is>
      </c>
      <c r="H2242" t="inlineStr">
        <is>
          <t>VIDAS ANÔNIMAS: HAITIANA PASSA POR CIMA DE PRECONCEITO E ABRE RESTAURANTE EM MANAUS</t>
        </is>
      </c>
      <c r="I2242" t="inlineStr">
        <is>
          <t>CONHEÇA A TRAJETÓRIA DA REFUGIADA GLORIANE AIMABLE, DE 35 ANOS, QUE CHEGOU NA CAPITAL APÓS O HAITI SER ATINGIDO POR UM TERREMOTO DE MAGNITUDE  7,0</t>
        </is>
      </c>
      <c r="J2242">
        <f>HYPERLINK("https://www.acritica.com/manaus/vidas-anonimas-haitiana-passa-por-cima-de-preconceito-e-abre-restaurante-em-manaus-1.181234", "URL")</f>
        <v/>
      </c>
      <c r="K2242">
        <f>HYPERLINK("https://raw.githubusercontent.com/marcosmapl/dataset_imigrantes/main/noticias_filtered/a_critica/haitianos/2018/02_mar/html/1.181234_27.html", "HTML")</f>
        <v/>
      </c>
      <c r="L2242">
        <f>HYPERLINK("https://raw.githubusercontent.com/marcosmapl/dataset_imigrantes/main/noticias_filtered/a_critica/haitianos/2018/02_mar/txt/1.181234_27.txt", "TXT")</f>
        <v/>
      </c>
    </row>
    <row r="2243">
      <c r="A2243" s="1" t="n">
        <v>2241</v>
      </c>
      <c r="B2243" t="n">
        <v>2018</v>
      </c>
      <c r="C2243" s="2" t="n">
        <v>43174.81342831018</v>
      </c>
      <c r="D2243" t="inlineStr">
        <is>
          <t>G1</t>
        </is>
      </c>
      <c r="E2243" t="inlineStr">
        <is>
          <t>VENEZUELANOS</t>
        </is>
      </c>
      <c r="F2243" t="inlineStr">
        <is>
          <t>RORAIMA</t>
        </is>
      </c>
      <c r="G2243" t="inlineStr">
        <is>
          <t>ALAN CHAVES, G1 RR</t>
        </is>
      </c>
      <c r="H2243" t="inlineStr">
        <is>
          <t>EXAME CONFIRMA SARAMPO EM CRIANÇA VENEZUELANA QUE MORREU EM RR; SAÚDE INVESTIGA 55 CASOS SUSPEITOS DA DOENÇA</t>
        </is>
      </c>
      <c r="I2243" t="inlineStr">
        <is>
          <t>CRIANÇA MORREU NO COMEÇO DE MARÇO NO HOSPITAL DA CRIANÇA DE BOA VISTA. ALÉM DE SARAMPO, IMIGRANTE ESTAVA DESNUTRIDA E DESIDRATADA.</t>
        </is>
      </c>
      <c r="J2243">
        <f>HYPERLINK("https://g1.globo.com/rr/roraima/noticia/exame-confirma-sarampo-em-crianca-venezuelana-que-morreu-em-rr-saude-investiga-56-casos-suspeitos-da-doenca.ghtml", "URL")</f>
        <v/>
      </c>
      <c r="K2243">
        <f>HYPERLINK("https://raw.githubusercontent.com/marcosmapl/dataset_imigrantes/main/noticias_filtered/g1/venezuelanos/2018/02_mar/html/g1_ae2733ae-2313-11ed-b24f-6dbe51e79fca_3021.html", "HTML")</f>
        <v/>
      </c>
      <c r="L2243">
        <f>HYPERLINK("https://raw.githubusercontent.com/marcosmapl/dataset_imigrantes/main/noticias_filtered/g1/venezuelanos/2018/02_mar/txt/g1_ae2733ae-2313-11ed-b24f-6dbe51e79fca_3021.txt", "TXT")</f>
        <v/>
      </c>
    </row>
    <row r="2244">
      <c r="A2244" s="1" t="n">
        <v>2242</v>
      </c>
      <c r="B2244" t="n">
        <v>2018</v>
      </c>
      <c r="C2244" s="2" t="n">
        <v>43174.65</v>
      </c>
      <c r="D2244" t="inlineStr">
        <is>
          <t>PORTAL AMAZONIA</t>
        </is>
      </c>
      <c r="E2244" t="inlineStr">
        <is>
          <t>VENEZUELANOS</t>
        </is>
      </c>
      <c r="F2244" t="inlineStr">
        <is>
          <t>CIDADES</t>
        </is>
      </c>
      <c r="G2244" t="inlineStr">
        <is>
          <t>REDAÇÃO</t>
        </is>
      </c>
      <c r="H2244" t="inlineStr">
        <is>
          <t>RORAIMA DEVE FAZER LEILÃO PARA REFORÇAR GERAÇÃO ALTERNATIVA DE ENERGIA</t>
        </is>
      </c>
      <c r="I2244" t="inlineStr">
        <is>
          <t>RORAIMA DEVE REALIZAR AINDA NESTE SEMESTRE UM LEILÃO PARA REFORÇAR A GERAÇÃO E O FORNECIMENTO DE ENERGIA ALTERNATIVA. A EXPECTATIVA É GARANTIR A GERAÇÃO DE 270 MEGAWATTS, O SUFICIENTE PARA ABASTECER O ESTADO PELOS PRÓXIMOS CINCO ANOS. AS INFORMAÇÕES</t>
        </is>
      </c>
      <c r="J2244">
        <f>HYPERLINK("https://portalamazonia.com/noticias/cidades/roraima-deve-fazer-leilao-para-reforcar-geracao-alternativa-de-energia", "URL")</f>
        <v/>
      </c>
      <c r="K2244">
        <f>HYPERLINK("https://raw.githubusercontent.com/marcosmapl/dataset_imigrantes/main/noticias_filtered/portal_amazonia/venezuelanos/2018/02_mar/html/12789.12789_1572.html", "HTML")</f>
        <v/>
      </c>
      <c r="L2244">
        <f>HYPERLINK("https://raw.githubusercontent.com/marcosmapl/dataset_imigrantes/main/noticias_filtered/portal_amazonia/venezuelanos/2018/02_mar/txt/12789.12789_1572.txt", "TXT")</f>
        <v/>
      </c>
    </row>
    <row r="2245">
      <c r="A2245" s="1" t="n">
        <v>2243</v>
      </c>
      <c r="B2245" t="n">
        <v>2018</v>
      </c>
      <c r="C2245" s="2" t="n">
        <v>43172.78611111111</v>
      </c>
      <c r="D2245" t="inlineStr">
        <is>
          <t>A CRITICA</t>
        </is>
      </c>
      <c r="E2245" t="inlineStr">
        <is>
          <t>VENEZUELANOS</t>
        </is>
      </c>
      <c r="F2245" t="inlineStr">
        <is>
          <t>MANAUS</t>
        </is>
      </c>
      <c r="G2245" t="inlineStr">
        <is>
          <t>JOANA QUEIROZ</t>
        </is>
      </c>
      <c r="H2245" t="inlineStr">
        <is>
          <t>CRISE NA VENEZUELA TORNA FRONTEIRA DO AM EM COMÉRCIO DE FUZIS COM PCC, DIZ POLÍCIA</t>
        </is>
      </c>
      <c r="I2245" t="inlineStr">
        <is>
          <t>POLÍCIA CIVIL TEM REGISTROS DE QUE MILICIANOS DO PRESIDENTE DA VENEZUELA, NICOLÁS MADURO, ESTARIAM VENDENDO ARMAS PARA A FACÇÃO PRIMEIRO COMANDO DA CAPITAL (PCC), COMPROMETENDO A SEGURANÇA DO ESTADO</t>
        </is>
      </c>
      <c r="J2245">
        <f>HYPERLINK("https://www.acritica.com/manaus/crise-na-venezuela-torna-fronteira-do-am-em-comercio-de-fuzis-com-pcc-diz-policia-1.181041", "URL")</f>
        <v/>
      </c>
      <c r="K2245">
        <f>HYPERLINK("https://raw.githubusercontent.com/marcosmapl/dataset_imigrantes/main/noticias_filtered/a_critica/venezuelanos/2018/02_mar/html/1.181041_521.html", "HTML")</f>
        <v/>
      </c>
      <c r="L2245">
        <f>HYPERLINK("https://raw.githubusercontent.com/marcosmapl/dataset_imigrantes/main/noticias_filtered/a_critica/venezuelanos/2018/02_mar/txt/1.181041_521.txt", "TXT")</f>
        <v/>
      </c>
    </row>
    <row r="2246">
      <c r="A2246" s="1" t="n">
        <v>2244</v>
      </c>
      <c r="B2246" t="n">
        <v>2018</v>
      </c>
      <c r="C2246" s="2" t="n">
        <v>43172.52847222222</v>
      </c>
      <c r="D2246" t="inlineStr">
        <is>
          <t>PORTAL AMAZONIA</t>
        </is>
      </c>
      <c r="E2246" t="inlineStr">
        <is>
          <t>VENEZUELANOS</t>
        </is>
      </c>
      <c r="F2246" t="inlineStr">
        <is>
          <t>CIDADES</t>
        </is>
      </c>
      <c r="G2246" t="inlineStr">
        <is>
          <t>REDAÇÃO</t>
        </is>
      </c>
      <c r="H2246" t="inlineStr">
        <is>
          <t>GOVERNO LIBERA R$ 600 MIL PARA AJUDAR VENEZUELANOS EM MUNICÍPIO DE RORAIMA</t>
        </is>
      </c>
      <c r="I2246" t="inlineStr">
        <is>
          <t>O MINISTÉRIO DO DESENVOLVIMENTO SOCIAL AUTORIZOU, NESTA SEGUNDA-FEIRA (12), O REPASSE EMERGENCIAL DE R$ 600 MIL À PREFEITURA DE PACARAIMA PARA GARANTIR AJUDA A ATÉ 250 DOS IMIGRANTES VENEZUELANOS QUE ESTÃO NA REGIÃO. O MUNICÍPIO DE RORAIMA FICA NA FR</t>
        </is>
      </c>
      <c r="J2246">
        <f>HYPERLINK("https://portalamazonia.com/noticias/cidades/governo-libera-r-600-mil-para-ajudar-venezuelanos-em-municipio-de-roraima", "URL")</f>
        <v/>
      </c>
      <c r="K2246">
        <f>HYPERLINK("https://raw.githubusercontent.com/marcosmapl/dataset_imigrantes/main/noticias_filtered/portal_amazonia/venezuelanos/2018/02_mar/html/12710.12710_1443.html", "HTML")</f>
        <v/>
      </c>
      <c r="L2246">
        <f>HYPERLINK("https://raw.githubusercontent.com/marcosmapl/dataset_imigrantes/main/noticias_filtered/portal_amazonia/venezuelanos/2018/02_mar/txt/12710.12710_1443.txt", "TXT")</f>
        <v/>
      </c>
    </row>
    <row r="2247">
      <c r="A2247" s="1" t="n">
        <v>2245</v>
      </c>
      <c r="B2247" t="n">
        <v>2018</v>
      </c>
      <c r="C2247" s="2" t="n">
        <v>43172.42378472222</v>
      </c>
      <c r="D2247" t="inlineStr">
        <is>
          <t>A CRITICA</t>
        </is>
      </c>
      <c r="E2247" t="inlineStr">
        <is>
          <t>VENEZUELANOS</t>
        </is>
      </c>
      <c r="F2247" t="inlineStr"/>
      <c r="G2247" t="inlineStr">
        <is>
          <t>MAIANA DINIZ -  AGÊNCIA BRASIL</t>
        </is>
      </c>
      <c r="H2247" t="inlineStr">
        <is>
          <t>GOVERNO LIBERA R$ 600 MIL PARA AJUDAR VENEZUELANOS EM MUNICÍPIO DE RORAIMA</t>
        </is>
      </c>
      <c r="I2247" t="inlineStr">
        <is>
          <t>ENTRE JANEIRO E FEVEREIRO DE 2018, MAIS DE 24 MIL VENEZUELANOS ENTRARAM NO PAÍS PELO POSTO DA POLÍCIA FEDERAL EM PACARAIMA</t>
        </is>
      </c>
      <c r="J2247">
        <f>HYPERLINK("https://www.acritica.com/governo-libera-r-600-mil-para-ajudar-venezuelanos-em-municipio-de-roraima-1.180860", "URL")</f>
        <v/>
      </c>
      <c r="K2247">
        <f>HYPERLINK("https://raw.githubusercontent.com/marcosmapl/dataset_imigrantes/main/noticias_filtered/a_critica/venezuelanos/2018/02_mar/html/1.180860_1098.html", "HTML")</f>
        <v/>
      </c>
      <c r="L2247">
        <f>HYPERLINK("https://raw.githubusercontent.com/marcosmapl/dataset_imigrantes/main/noticias_filtered/a_critica/venezuelanos/2018/02_mar/txt/1.180860_1098.txt", "TXT")</f>
        <v/>
      </c>
    </row>
    <row r="2248">
      <c r="A2248" s="1" t="n">
        <v>2246</v>
      </c>
      <c r="B2248" t="n">
        <v>2018</v>
      </c>
      <c r="C2248" s="2" t="n">
        <v>43171.9511574537</v>
      </c>
      <c r="D2248" t="inlineStr">
        <is>
          <t>G1</t>
        </is>
      </c>
      <c r="E2248" t="inlineStr">
        <is>
          <t>HAITIANOS</t>
        </is>
      </c>
      <c r="F2248" t="inlineStr">
        <is>
          <t>ACRE</t>
        </is>
      </c>
      <c r="G2248" t="inlineStr">
        <is>
          <t>IRYÁ RODRIGUES, G1 AC — RIO BRANCO</t>
        </is>
      </c>
      <c r="H2248" t="inlineStr">
        <is>
          <t>APÓS SER ROTA PARA 50 MIL IMIGRANTES, AC QUER QUE GOVERNO FEDERAL PAGUE QUASE R$ 13 MILHÕES GASTOS COM AJUDA HUMANITÁRIA</t>
        </is>
      </c>
      <c r="I2248" t="inlineStr">
        <is>
          <t>ESTADO FOI ROTA DE IMIGRAÇÃO DE HAITIANOS, SENEGALESES E OUTROS IMIGRANTES ENTRE DEZEMBRO DE 2010 A MARÇO DE 2016. ACRE ACIONOU STF PARA SER RESSARCIDO.</t>
        </is>
      </c>
      <c r="J2248">
        <f>HYPERLINK("https://g1.globo.com/ac/acre/noticia/apos-ser-rota-para-50-mil-imigrantes-ac-quer-que-governo-federal-pague-quase-r-13-milhoes-gastos-com-ajuda-humanitaria.ghtml", "URL")</f>
        <v/>
      </c>
      <c r="K2248">
        <f>HYPERLINK("https://raw.githubusercontent.com/marcosmapl/dataset_imigrantes/main/noticias_filtered/g1/haitianos/2018/02_mar/html/g1_fd678fde-231a-11ed-b24f-6dbe51e79fca_3365.html", "HTML")</f>
        <v/>
      </c>
      <c r="L2248">
        <f>HYPERLINK("https://raw.githubusercontent.com/marcosmapl/dataset_imigrantes/main/noticias_filtered/g1/haitianos/2018/02_mar/txt/g1_fd678fde-231a-11ed-b24f-6dbe51e79fca_3365.txt", "TXT")</f>
        <v/>
      </c>
    </row>
    <row r="2249">
      <c r="A2249" s="1" t="n">
        <v>2247</v>
      </c>
      <c r="B2249" t="n">
        <v>2018</v>
      </c>
      <c r="C2249" s="2" t="n">
        <v>43171.70899305555</v>
      </c>
      <c r="D2249" t="inlineStr">
        <is>
          <t>A CRITICA</t>
        </is>
      </c>
      <c r="E2249" t="inlineStr">
        <is>
          <t>HAITIANOS</t>
        </is>
      </c>
      <c r="F2249" t="inlineStr">
        <is>
          <t>POLICIA</t>
        </is>
      </c>
      <c r="G2249" t="inlineStr">
        <is>
          <t>CONCEIÇÃO MELQUIADES</t>
        </is>
      </c>
      <c r="H2249" t="inlineStr">
        <is>
          <t>HAITIANO TEM LOJA INVADIDA E PREJUÍZO EM MERCADORIA CHEGA A R$ 10 MIL EM MANAUS</t>
        </is>
      </c>
      <c r="I2249" t="inlineStr">
        <is>
          <t>O COMERCIANTE ESTRANGEIRO ENCONTROU O ESTABELECIMENTO COM A PORTA ARROMBADA E AS PRATELEIRAS VAZIAS. É A TERCEIRA VEZ QUE O LOCAL É ASSALTADO</t>
        </is>
      </c>
      <c r="J2249">
        <f>HYPERLINK("https://www.acritica.com/policia/haitiano-tem-loja-invadida-e-prejuizo-em-mercadoria-chega-a-r-10-mil-em-manaus-1.180697", "URL")</f>
        <v/>
      </c>
      <c r="K2249">
        <f>HYPERLINK("https://raw.githubusercontent.com/marcosmapl/dataset_imigrantes/main/noticias_filtered/a_critica/haitianos/2018/02_mar/html/1.180697_1025.html", "HTML")</f>
        <v/>
      </c>
      <c r="L2249">
        <f>HYPERLINK("https://raw.githubusercontent.com/marcosmapl/dataset_imigrantes/main/noticias_filtered/a_critica/haitianos/2018/02_mar/txt/1.180697_1025.txt", "TXT")</f>
        <v/>
      </c>
    </row>
    <row r="2250">
      <c r="A2250" s="1" t="n">
        <v>2248</v>
      </c>
      <c r="B2250" t="n">
        <v>2018</v>
      </c>
      <c r="C2250" s="2" t="n">
        <v>43170.68125</v>
      </c>
      <c r="D2250" t="inlineStr">
        <is>
          <t>A CRITICA</t>
        </is>
      </c>
      <c r="E2250" t="inlineStr">
        <is>
          <t>VENEZUELANOS</t>
        </is>
      </c>
      <c r="F2250" t="inlineStr">
        <is>
          <t>ESPORTES</t>
        </is>
      </c>
      <c r="G2250" t="inlineStr">
        <is>
          <t>CAMILA LEONEL</t>
        </is>
      </c>
      <c r="H2250" t="inlineStr">
        <is>
          <t>ATACANTE DO FAST, VENEZUELANO JHORMAN CONTA COMO O FUTEBOL DEU NOVA CHANCE DE VIDA A ELE</t>
        </is>
      </c>
      <c r="I2250" t="inlineStr">
        <is>
          <t>NASCIDO NA CIDADE DE MARACAY, A 90 QUILÔMETROS DE CARACAS, O JOGADOR DE 25 ANOS CHEGA AO FAST CLUBE PARA REALIZAR O SONHO DE JOGAR PROFISSIONALMENTE. ELE ESPERA FAZER HISTÓRIA NO BRASIL</t>
        </is>
      </c>
      <c r="J2250">
        <f>HYPERLINK("https://www.acritica.com/esportes/atacante-do-fast-venezuelano-jhorman-conta-como-o-futebol-deu-nova-chance-de-vida-a-ele-1.180601", "URL")</f>
        <v/>
      </c>
      <c r="K2250">
        <f>HYPERLINK("https://raw.githubusercontent.com/marcosmapl/dataset_imigrantes/main/noticias_filtered/a_critica/venezuelanos/2018/02_mar/html/1.180601_1169.html", "HTML")</f>
        <v/>
      </c>
      <c r="L2250">
        <f>HYPERLINK("https://raw.githubusercontent.com/marcosmapl/dataset_imigrantes/main/noticias_filtered/a_critica/venezuelanos/2018/02_mar/txt/1.180601_1169.txt", "TXT")</f>
        <v/>
      </c>
    </row>
    <row r="2251">
      <c r="A2251" s="1" t="n">
        <v>2249</v>
      </c>
      <c r="B2251" t="n">
        <v>2018</v>
      </c>
      <c r="C2251" s="2" t="n">
        <v>43170.66678240741</v>
      </c>
      <c r="D2251" t="inlineStr">
        <is>
          <t>A CRITICA</t>
        </is>
      </c>
      <c r="E2251" t="inlineStr">
        <is>
          <t>VENEZUELANOS</t>
        </is>
      </c>
      <c r="F2251" t="inlineStr"/>
      <c r="G2251" t="inlineStr">
        <is>
          <t>ALANA GANDRA (AGÊNCIA BRASIL)</t>
        </is>
      </c>
      <c r="H2251" t="inlineStr">
        <is>
          <t>REFUGIADOS GANHAM BOLSAS PARA CURSAR UNIVERSIDADE NO BRASIL</t>
        </is>
      </c>
      <c r="I2251" t="inlineStr">
        <is>
          <t>A INICIATIVA PERMITE QUE ELES POSSAM RECONSTRUIR SUAS VIDAS PROFISSIONAIS. OS PRIMEIROS ALUNOS QUE INGRESSARÃO NA UNIVERSIDADE ESTÃO NA FAIXA ETÁRIA DE 23 A 50 ANOS</t>
        </is>
      </c>
      <c r="J2251">
        <f>HYPERLINK("https://www.acritica.com/refugiados-ganham-bolsas-para-cursar-universidade-no-brasil-1.180787", "URL")</f>
        <v/>
      </c>
      <c r="K2251">
        <f>HYPERLINK("https://raw.githubusercontent.com/marcosmapl/dataset_imigrantes/main/noticias_filtered/a_critica/venezuelanos/2018/02_mar/html/1.180787_53.html", "HTML")</f>
        <v/>
      </c>
      <c r="L2251">
        <f>HYPERLINK("https://raw.githubusercontent.com/marcosmapl/dataset_imigrantes/main/noticias_filtered/a_critica/venezuelanos/2018/02_mar/txt/1.180787_53.txt", "TXT")</f>
        <v/>
      </c>
    </row>
    <row r="2252">
      <c r="A2252" s="1" t="n">
        <v>2250</v>
      </c>
      <c r="B2252" t="n">
        <v>2018</v>
      </c>
      <c r="C2252" s="2" t="n">
        <v>43168.92222222222</v>
      </c>
      <c r="D2252" t="inlineStr">
        <is>
          <t>A CRITICA</t>
        </is>
      </c>
      <c r="E2252" t="inlineStr">
        <is>
          <t>VENEZUELANOS</t>
        </is>
      </c>
      <c r="F2252" t="inlineStr">
        <is>
          <t>MANAUS</t>
        </is>
      </c>
      <c r="G2252" t="inlineStr">
        <is>
          <t>ACRITICA.COM*</t>
        </is>
      </c>
      <c r="H2252" t="inlineStr">
        <is>
          <t>FVS DESCARTA DOIS CASOS SUSPEITOS DE SARAMPO E OUTROS QUATRO SEGUEM SOB INVESTIGAÇÃO</t>
        </is>
      </c>
      <c r="I2252" t="inlineStr">
        <is>
          <t>TODOS OS CASOS SUSPEITOS DE MANAUS DERAM ENTRADA NO HPS DA ZONA NORTE  SÃO ORIUNDOS DE BAIRROS NAS REDONDEZAS DO HOSPITAL; VEJA OS SINTOMAS E COMO AGIR</t>
        </is>
      </c>
      <c r="J2252">
        <f>HYPERLINK("https://www.acritica.com/manaus/fvs-descarta-dois-casos-suspeitos-de-sarampo-e-outros-quatro-seguem-sob-investigac-o-1.180645", "URL")</f>
        <v/>
      </c>
      <c r="K2252">
        <f>HYPERLINK("https://raw.githubusercontent.com/marcosmapl/dataset_imigrantes/main/noticias_filtered/a_critica/venezuelanos/2018/02_mar/html/1.180645_555.html", "HTML")</f>
        <v/>
      </c>
      <c r="L2252">
        <f>HYPERLINK("https://raw.githubusercontent.com/marcosmapl/dataset_imigrantes/main/noticias_filtered/a_critica/venezuelanos/2018/02_mar/txt/1.180645_555.txt", "TXT")</f>
        <v/>
      </c>
    </row>
    <row r="2253">
      <c r="A2253" s="1" t="n">
        <v>2251</v>
      </c>
      <c r="B2253" t="n">
        <v>2018</v>
      </c>
      <c r="C2253" s="2" t="n">
        <v>43168.55833333333</v>
      </c>
      <c r="D2253" t="inlineStr">
        <is>
          <t>PORTAL AMAZONIA</t>
        </is>
      </c>
      <c r="E2253" t="inlineStr">
        <is>
          <t>HAITIANOS</t>
        </is>
      </c>
      <c r="F2253" t="inlineStr">
        <is>
          <t>CIDADES</t>
        </is>
      </c>
      <c r="G2253" t="inlineStr">
        <is>
          <t>REDAÇÃO</t>
        </is>
      </c>
      <c r="H2253" t="inlineStr">
        <is>
          <t>ACRE QUER RESSARCIMENTO DO GOVERNO FEDERAL POR GASTOS COM HAITIANOS</t>
        </is>
      </c>
      <c r="I2253" t="inlineStr">
        <is>
          <t>O ESTADO DO ACRE ACIONOU O SUPREMO TRIBUNAL FEDERAL (STF) PARA QUE O GOVERNO FEDERAL PAGUE MAIS DE R$ 12 MILHÕES POR GASTOS REALIZADOS ENTRE 2010 E 2016 COM IMIGRANTES HAITIANOS. O ESTADO FOI ROTA DESSES IMIGRANTES LOGO APÓS O TERREMOTO QUE ATINGIU O</t>
        </is>
      </c>
      <c r="J2253">
        <f>HYPERLINK("https://portalamazonia.com/noticias/cidades/acre-quer-ressarcimento-do-governo-federal-por-gastos-com-haitianos", "URL")</f>
        <v/>
      </c>
      <c r="K2253">
        <f>HYPERLINK("https://raw.githubusercontent.com/marcosmapl/dataset_imigrantes/main/noticias_filtered/portal_amazonia/haitianos/2018/02_mar/html/12639.12639_1430.html", "HTML")</f>
        <v/>
      </c>
      <c r="L2253">
        <f>HYPERLINK("https://raw.githubusercontent.com/marcosmapl/dataset_imigrantes/main/noticias_filtered/portal_amazonia/haitianos/2018/02_mar/txt/12639.12639_1430.txt", "TXT")</f>
        <v/>
      </c>
    </row>
    <row r="2254">
      <c r="A2254" s="1" t="n">
        <v>2252</v>
      </c>
      <c r="B2254" t="n">
        <v>2018</v>
      </c>
      <c r="C2254" s="2" t="n">
        <v>43165.55069444444</v>
      </c>
      <c r="D2254" t="inlineStr">
        <is>
          <t>PORTAL AMAZONIA</t>
        </is>
      </c>
      <c r="E2254" t="inlineStr">
        <is>
          <t>VENEZUELANOS</t>
        </is>
      </c>
      <c r="F2254" t="inlineStr">
        <is>
          <t>CIDADES</t>
        </is>
      </c>
      <c r="G2254" t="inlineStr">
        <is>
          <t>REDAÇÃO</t>
        </is>
      </c>
      <c r="H2254" t="inlineStr">
        <is>
          <t>CRIADO POSTO DE VACINAÇÃO EM PACARAIMA PARA ATENDER VENEZUELANOS</t>
        </is>
      </c>
      <c r="I2254" t="inlineStr">
        <is>
          <t>FOI MONTADO EM PACARAIMA, MUNICÍPIO NA FRONTEIRA COM A VENEZUELA, UM POSTO DE VACINAÇÃO PARA ATENDER OS IMIGRANTES DO PAÍS VIZINHO. A EXPECTATIVA É QUE DENTRO DE 30 DIAS A ESTRUTURA EVOLUA PARA UMA BARREIRA SANITÁRIA, PARA UM MONITORAMENTO MAIS APROF</t>
        </is>
      </c>
      <c r="J2254">
        <f>HYPERLINK("https://portalamazonia.com/noticias/cidades/criado-posto-de-vacinacao-em-pacaraima-para-atender-venezuelanos", "URL")</f>
        <v/>
      </c>
      <c r="K2254">
        <f>HYPERLINK("https://raw.githubusercontent.com/marcosmapl/dataset_imigrantes/main/noticias_filtered/portal_amazonia/venezuelanos/2018/02_mar/html/12535.12535_1475.html", "HTML")</f>
        <v/>
      </c>
      <c r="L2254">
        <f>HYPERLINK("https://raw.githubusercontent.com/marcosmapl/dataset_imigrantes/main/noticias_filtered/portal_amazonia/venezuelanos/2018/02_mar/txt/12535.12535_1475.txt", "TXT")</f>
        <v/>
      </c>
    </row>
    <row r="2255">
      <c r="A2255" s="1" t="n">
        <v>2253</v>
      </c>
      <c r="B2255" t="n">
        <v>2018</v>
      </c>
      <c r="C2255" s="2" t="n">
        <v>43164.84236111111</v>
      </c>
      <c r="D2255" t="inlineStr">
        <is>
          <t>A CRITICA</t>
        </is>
      </c>
      <c r="E2255" t="inlineStr">
        <is>
          <t>VENEZUELANOS</t>
        </is>
      </c>
      <c r="F2255" t="inlineStr">
        <is>
          <t>OPINIAO</t>
        </is>
      </c>
      <c r="G2255" t="inlineStr">
        <is>
          <t>BEM VIVER BLOG</t>
        </is>
      </c>
      <c r="H2255" t="inlineStr">
        <is>
          <t>MOSTRA DE TEATRO, WORKSHOP PARA MULHERES E MUITO MAIS NA COLUNA BEM VIVER BLOG</t>
        </is>
      </c>
      <c r="I2255" t="inlineStr"/>
      <c r="J2255">
        <f>HYPERLINK("https://www.acritica.com/opiniao/mostra-de-teatro-workshop-para-mulheres-e-muito-mais-na-coluna-bem-viver-blog-1.217163", "URL")</f>
        <v/>
      </c>
      <c r="K2255">
        <f>HYPERLINK("https://raw.githubusercontent.com/marcosmapl/dataset_imigrantes/main/noticias_filtered/a_critica/venezuelanos/2018/02_mar/html/1.217163_911.html", "HTML")</f>
        <v/>
      </c>
      <c r="L2255">
        <f>HYPERLINK("https://raw.githubusercontent.com/marcosmapl/dataset_imigrantes/main/noticias_filtered/a_critica/venezuelanos/2018/02_mar/txt/1.217163_911.txt", "TXT")</f>
        <v/>
      </c>
    </row>
    <row r="2256">
      <c r="A2256" s="1" t="n">
        <v>2254</v>
      </c>
      <c r="B2256" t="n">
        <v>2018</v>
      </c>
      <c r="C2256" s="2" t="n">
        <v>43164.70845467593</v>
      </c>
      <c r="D2256" t="inlineStr">
        <is>
          <t>G1</t>
        </is>
      </c>
      <c r="E2256" t="inlineStr">
        <is>
          <t>VENEZUELANOS</t>
        </is>
      </c>
      <c r="F2256" t="inlineStr">
        <is>
          <t>RORAIMA</t>
        </is>
      </c>
      <c r="G2256" t="inlineStr">
        <is>
          <t>G1 RR</t>
        </is>
      </c>
      <c r="H2256" t="inlineStr">
        <is>
          <t>GAROTA DE PROGRAMA VENEZUELANA É AGREDIDA POR CLIENTE APÓS ANUNCIAR FIM DO TEMPO DE ATENDIMENTO EM RR</t>
        </is>
      </c>
      <c r="I2256" t="inlineStr">
        <is>
          <t>SUSPEITO DISSE À POLÍCIA QUE APÓS 15 MINUTOS A JOVEM TERIA ENCERRADO O PROGRAMA. AO SER ATACADA, VÍTIMA PEDIU SOCORRO A FUNCIONÁRIOS DE POUSADA.</t>
        </is>
      </c>
      <c r="J2256">
        <f>HYPERLINK("https://g1.globo.com/rr/roraima/noticia/garota-de-programa-venezuelana-e-agredida-por-cliente-apos-anunciar-fim-do-tempo-de-atendimento-em-rr.ghtml", "URL")</f>
        <v/>
      </c>
      <c r="K2256">
        <f>HYPERLINK("https://raw.githubusercontent.com/marcosmapl/dataset_imigrantes/main/noticias_filtered/g1/venezuelanos/2018/02_mar/html/g1_9556e43a-2315-11ed-b24f-6dbe51e79fca_3094.html", "HTML")</f>
        <v/>
      </c>
      <c r="L2256">
        <f>HYPERLINK("https://raw.githubusercontent.com/marcosmapl/dataset_imigrantes/main/noticias_filtered/g1/venezuelanos/2018/02_mar/txt/g1_9556e43a-2315-11ed-b24f-6dbe51e79fca_3094.txt", "TXT")</f>
        <v/>
      </c>
    </row>
    <row r="2257">
      <c r="A2257" s="1" t="n">
        <v>2255</v>
      </c>
      <c r="B2257" t="n">
        <v>2018</v>
      </c>
      <c r="C2257" s="2" t="n">
        <v>43164.42777777778</v>
      </c>
      <c r="D2257" t="inlineStr">
        <is>
          <t>A CRITICA</t>
        </is>
      </c>
      <c r="E2257" t="inlineStr">
        <is>
          <t>HAITIANOS</t>
        </is>
      </c>
      <c r="F2257" t="inlineStr">
        <is>
          <t>MANAUS</t>
        </is>
      </c>
      <c r="G2257" t="inlineStr">
        <is>
          <t>DANILO ALVES</t>
        </is>
      </c>
      <c r="H2257" t="inlineStr">
        <is>
          <t>ALUNOS ESTRANGEIROS QUE INGRESSAREM NA REDE MUNICIPAL PASSARÃO POR PROVAS EM MANAUS</t>
        </is>
      </c>
      <c r="I2257" t="inlineStr">
        <is>
          <t>A EXIGÊNCIA COMEÇA A VALER A PARTIR DESTE ANO EM MANAUS. A ESCOLA DEVERÁ ENCAMINHAR O ESTUDANTE À EQUIPE PEDAGÓGICA PARA REALIZAÇÃO DO EXAME DE CLASSIFICAÇÃO</t>
        </is>
      </c>
      <c r="J2257">
        <f>HYPERLINK("https://www.acritica.com/manaus/alunos-estrangeiros-que-ingressarem-na-rede-municipal-passar-o-por-provas-em-manaus-1.97037", "URL")</f>
        <v/>
      </c>
      <c r="K2257">
        <f>HYPERLINK("https://raw.githubusercontent.com/marcosmapl/dataset_imigrantes/main/noticias_filtered/a_critica/haitianos/2018/02_mar/html/1.97037_321.html", "HTML")</f>
        <v/>
      </c>
      <c r="L2257">
        <f>HYPERLINK("https://raw.githubusercontent.com/marcosmapl/dataset_imigrantes/main/noticias_filtered/a_critica/haitianos/2018/02_mar/txt/1.97037_321.txt", "TXT")</f>
        <v/>
      </c>
    </row>
    <row r="2258">
      <c r="A2258" s="1" t="n">
        <v>2256</v>
      </c>
      <c r="B2258" t="n">
        <v>2018</v>
      </c>
      <c r="C2258" s="2" t="n">
        <v>43162.93224516204</v>
      </c>
      <c r="D2258" t="inlineStr">
        <is>
          <t>G1</t>
        </is>
      </c>
      <c r="E2258" t="inlineStr">
        <is>
          <t>HAITIANOS</t>
        </is>
      </c>
      <c r="F2258" t="inlineStr">
        <is>
          <t>AMAZONAS</t>
        </is>
      </c>
      <c r="G2258" t="inlineStr">
        <is>
          <t>G1 AM</t>
        </is>
      </c>
      <c r="H2258" t="inlineStr">
        <is>
          <t>FEIRA DE SAÚDE OFERECE SERVIÇOS GRATUITOS PARA HAITIANOS NA ZONA LESTE DE MANAUS</t>
        </is>
      </c>
      <c r="I2258" t="inlineStr">
        <is>
          <t>AÇÃO SOCIAL É PARTE DO PROJETO “10 DIAS DE ORAÇÃO E AÇÕES DE COMPAIXÃO", DA IGREJA ADVENTISTA.</t>
        </is>
      </c>
      <c r="J2258">
        <f>HYPERLINK("https://g1.globo.com/am/amazonas/noticia/feira-de-saude-oferece-servicos-gratuitos-para-haitianos-na-zona-leste-de-manaus.ghtml", "URL")</f>
        <v/>
      </c>
      <c r="K2258">
        <f>HYPERLINK("https://raw.githubusercontent.com/marcosmapl/dataset_imigrantes/main/noticias_filtered/g1/haitianos/2018/02_mar/html/g1_9872ce9a-22f2-11ed-b24f-6dbe51e79fca_1806.html", "HTML")</f>
        <v/>
      </c>
      <c r="L2258">
        <f>HYPERLINK("https://raw.githubusercontent.com/marcosmapl/dataset_imigrantes/main/noticias_filtered/g1/haitianos/2018/02_mar/txt/g1_9872ce9a-22f2-11ed-b24f-6dbe51e79fca_1806.txt", "TXT")</f>
        <v/>
      </c>
    </row>
    <row r="2259">
      <c r="A2259" s="1" t="n">
        <v>2257</v>
      </c>
      <c r="B2259" t="n">
        <v>2018</v>
      </c>
      <c r="C2259" s="2" t="n">
        <v>43162.51939599537</v>
      </c>
      <c r="D2259" t="inlineStr">
        <is>
          <t>G1</t>
        </is>
      </c>
      <c r="E2259" t="inlineStr">
        <is>
          <t>HAITIANOS</t>
        </is>
      </c>
      <c r="F2259" t="inlineStr">
        <is>
          <t>SANTA CATARINA</t>
        </is>
      </c>
      <c r="G2259" t="inlineStr">
        <is>
          <t>G1 SC</t>
        </is>
      </c>
      <c r="H2259" t="inlineStr">
        <is>
          <t>ACIDENTE COM ÔNIBUS DE HAITIANOS DEIXA CINCO FERIDOS EM NAVEGANTES</t>
        </is>
      </c>
      <c r="I2259" t="inlineStr">
        <is>
          <t>DOIS PASSAGEIROS E O MOTORISTA QUE FICARAM FERIDOS FORAM LEVADOS AO HOSPITAL DA CIDADE.</t>
        </is>
      </c>
      <c r="J2259">
        <f>HYPERLINK("https://g1.globo.com/sc/santa-catarina/noticia/acidente-com-onibus-de-haitianos-deixa-tres-feridos-em-navegantes.ghtml", "URL")</f>
        <v/>
      </c>
      <c r="K2259">
        <f>HYPERLINK("https://raw.githubusercontent.com/marcosmapl/dataset_imigrantes/main/noticias_filtered/g1/haitianos/2018/02_mar/html/g1_118c7ebe-22f5-11ed-b24f-6dbe51e79fca_1928.html", "HTML")</f>
        <v/>
      </c>
      <c r="L2259">
        <f>HYPERLINK("https://raw.githubusercontent.com/marcosmapl/dataset_imigrantes/main/noticias_filtered/g1/haitianos/2018/02_mar/txt/g1_118c7ebe-22f5-11ed-b24f-6dbe51e79fca_1928.txt", "TXT")</f>
        <v/>
      </c>
    </row>
    <row r="2260">
      <c r="A2260" s="1" t="n">
        <v>2258</v>
      </c>
      <c r="B2260" t="n">
        <v>2018</v>
      </c>
      <c r="C2260" s="2" t="n">
        <v>43161.78135582176</v>
      </c>
      <c r="D2260" t="inlineStr">
        <is>
          <t>G1</t>
        </is>
      </c>
      <c r="E2260" t="inlineStr">
        <is>
          <t>VENEZUELANOS</t>
        </is>
      </c>
      <c r="F2260" t="inlineStr">
        <is>
          <t>RORAIMA</t>
        </is>
      </c>
      <c r="G2260" t="inlineStr">
        <is>
          <t>G1 RR</t>
        </is>
      </c>
      <c r="H2260" t="inlineStr">
        <is>
          <t>CRIANÇA VENEZUELANA COM SUSPEITA DE SARAMPO E PNEUMONIA MORRE EM HOSPITAL DE BOA VISTA</t>
        </is>
      </c>
      <c r="I2260" t="inlineStr">
        <is>
          <t>CRIANÇA DE 4 ANOS ESTAVA INTERNADA HÁ DIAS. CASO ESTAVA ENTRE OS 12 EM INVESTIGAÇÃO SOB SUSPEITA DE SARAMPO.</t>
        </is>
      </c>
      <c r="J2260">
        <f>HYPERLINK("https://g1.globo.com/rr/roraima/noticia/crianca-venezuelana-com-suspeita-de-sarampo-e-pneumonia-morre-em-hospital-de-boa-vista.ghtml", "URL")</f>
        <v/>
      </c>
      <c r="K2260">
        <f>HYPERLINK("https://raw.githubusercontent.com/marcosmapl/dataset_imigrantes/main/noticias_filtered/g1/venezuelanos/2018/02_mar/html/g1_cd0d2586-232b-11ed-b24f-6dbe51e79fca_4271.html", "HTML")</f>
        <v/>
      </c>
      <c r="L2260">
        <f>HYPERLINK("https://raw.githubusercontent.com/marcosmapl/dataset_imigrantes/main/noticias_filtered/g1/venezuelanos/2018/02_mar/txt/g1_cd0d2586-232b-11ed-b24f-6dbe51e79fca_4271.txt", "TXT")</f>
        <v/>
      </c>
    </row>
    <row r="2261">
      <c r="A2261" s="1" t="n">
        <v>2259</v>
      </c>
      <c r="B2261" t="n">
        <v>2018</v>
      </c>
      <c r="C2261" s="2" t="n">
        <v>43161.51458333333</v>
      </c>
      <c r="D2261" t="inlineStr">
        <is>
          <t>PORTAL AMAZONIA</t>
        </is>
      </c>
      <c r="E2261" t="inlineStr">
        <is>
          <t>VENEZUELANOS</t>
        </is>
      </c>
      <c r="F2261" t="inlineStr">
        <is>
          <t>CIDADES</t>
        </is>
      </c>
      <c r="G2261" t="inlineStr">
        <is>
          <t>REDAÇÃO</t>
        </is>
      </c>
      <c r="H2261" t="inlineStr">
        <is>
          <t>MANAUS NÃO TEM CONDIÇÕES DE RECEBER VENEZUELANOS, AFIRMA PREFEITURA</t>
        </is>
      </c>
      <c r="I2261" t="inlineStr">
        <is>
          <t>MANAUS (AM) ABRIGA, ATUALMENTE, 149 INDÍGENAS VENEZUELANOS E UM TOTAL DE 140 VENEZUELANOS VINDOS DE RORAIMA DEVEM SER TRANSFERIDOS PARA A CAPITAL NA PRIMEIRA SEMANA DE ABRIL. A INFORMAÇÃO FOI CONFIRMADA NESTA QUARTA-FEIRA (28</t>
        </is>
      </c>
      <c r="J2261">
        <f>HYPERLINK("https://portalamazonia.com/noticias/cidades/manaus-nao-tem-condicoes-de-receber-venezuelanos-afirma-prefeitura", "URL")</f>
        <v/>
      </c>
      <c r="K2261">
        <f>HYPERLINK("https://raw.githubusercontent.com/marcosmapl/dataset_imigrantes/main/noticias_filtered/portal_amazonia/venezuelanos/2018/02_mar/html/12454.25644_1542.html", "HTML")</f>
        <v/>
      </c>
      <c r="L2261">
        <f>HYPERLINK("https://raw.githubusercontent.com/marcosmapl/dataset_imigrantes/main/noticias_filtered/portal_amazonia/venezuelanos/2018/02_mar/txt/12454.25644_1542.txt", "TXT")</f>
        <v/>
      </c>
    </row>
    <row r="2262">
      <c r="A2262" s="1" t="n">
        <v>2260</v>
      </c>
      <c r="B2262" t="n">
        <v>2018</v>
      </c>
      <c r="C2262" s="2" t="n">
        <v>43159.78272728009</v>
      </c>
      <c r="D2262" t="inlineStr">
        <is>
          <t>G1</t>
        </is>
      </c>
      <c r="E2262" t="inlineStr">
        <is>
          <t>VENEZUELANOS</t>
        </is>
      </c>
      <c r="F2262" t="inlineStr">
        <is>
          <t>MUNDO</t>
        </is>
      </c>
      <c r="G2262" t="inlineStr">
        <is>
          <t>FRANCE PRESSE</t>
        </is>
      </c>
      <c r="H2262" t="inlineStr">
        <is>
          <t>PRAZO PARA INSCRIÇÃO DE CANDIDATOS NAS ELEIÇÕES VENEZUELANAS É PRORROGADO EM UM DIA</t>
        </is>
      </c>
      <c r="I2262" t="inlineStr">
        <is>
          <t>DE ACORDO COM O CONSELHO NACIONAL ELEITORAL, PRAZO MAIOR DEVE GARANTIR " DE FORMA PLENA O EXERCÍCIO DOS DIREITOS POLÍTICOS".</t>
        </is>
      </c>
      <c r="J2262">
        <f>HYPERLINK("https://g1.globo.com/mundo/noticia/prazo-para-inscricao-de-candidatos-nas-eleicoes-venezuelanas-e-prorrogado-em-um-dia.ghtml", "URL")</f>
        <v/>
      </c>
      <c r="K2262">
        <f>HYPERLINK("https://raw.githubusercontent.com/marcosmapl/dataset_imigrantes/main/noticias_filtered/g1/venezuelanos/2018/01_fev/html/g1_03c5e7de-230e-11ed-b24f-6dbe51e79fca_2716.html", "HTML")</f>
        <v/>
      </c>
      <c r="L2262">
        <f>HYPERLINK("https://raw.githubusercontent.com/marcosmapl/dataset_imigrantes/main/noticias_filtered/g1/venezuelanos/2018/01_fev/txt/g1_03c5e7de-230e-11ed-b24f-6dbe51e79fca_2716.txt", "TXT")</f>
        <v/>
      </c>
    </row>
    <row r="2263">
      <c r="A2263" s="1" t="n">
        <v>2261</v>
      </c>
      <c r="B2263" t="n">
        <v>2018</v>
      </c>
      <c r="C2263" s="2" t="n">
        <v>43158.74634796297</v>
      </c>
      <c r="D2263" t="inlineStr">
        <is>
          <t>G1</t>
        </is>
      </c>
      <c r="E2263" t="inlineStr">
        <is>
          <t>HAITIANOS</t>
        </is>
      </c>
      <c r="F2263" t="inlineStr">
        <is>
          <t>MATO GROSSO DO SUL</t>
        </is>
      </c>
      <c r="G2263" t="inlineStr">
        <is>
          <t>CARLA SALENTIM, TV MORENA</t>
        </is>
      </c>
      <c r="H2263" t="inlineStr">
        <is>
          <t>HAITIANA PRESA COM DOCUMENTO DE IMIGRAÇÃO FALSO MORRE EM HOSPITAL DE MS</t>
        </is>
      </c>
      <c r="I2263" t="inlineStr">
        <is>
          <t>MULHER HAVIA SIDO PRESA COM OUTRAS DUAS HAITIANAS EM CORUMBÁ, QUE FICA NA FRONTEIRA DO BRASIL COM A BOLÍVIA, E MORREU NO PRONTO-SOCORRO ANTES DE PASSAR PELA AUDIÊNCIA DE CUSTÓDIA.</t>
        </is>
      </c>
      <c r="J2263">
        <f>HYPERLINK("https://g1.globo.com/ms/mato-grosso-do-sul/noticia/haitiana-presa-com-documento-de-imigracao-falso-morre-em-hospital-de-ms.ghtml", "URL")</f>
        <v/>
      </c>
      <c r="K2263">
        <f>HYPERLINK("https://raw.githubusercontent.com/marcosmapl/dataset_imigrantes/main/noticias_filtered/g1/haitianos/2018/01_fev/html/g1_25cf5022-2322-11ed-b24f-6dbe51e79fca_3737.html", "HTML")</f>
        <v/>
      </c>
      <c r="L2263">
        <f>HYPERLINK("https://raw.githubusercontent.com/marcosmapl/dataset_imigrantes/main/noticias_filtered/g1/haitianos/2018/01_fev/txt/g1_25cf5022-2322-11ed-b24f-6dbe51e79fca_3737.txt", "TXT")</f>
        <v/>
      </c>
    </row>
    <row r="2264">
      <c r="A2264" s="1" t="n">
        <v>2262</v>
      </c>
      <c r="B2264" t="n">
        <v>2018</v>
      </c>
      <c r="C2264" s="2" t="n">
        <v>43158.71114583333</v>
      </c>
      <c r="D2264" t="inlineStr">
        <is>
          <t>A CRITICA</t>
        </is>
      </c>
      <c r="E2264" t="inlineStr">
        <is>
          <t>VENEZUELANOS</t>
        </is>
      </c>
      <c r="F2264" t="inlineStr"/>
      <c r="G2264" t="inlineStr">
        <is>
          <t>AGÊNCIA BRASIL</t>
        </is>
      </c>
      <c r="H2264" t="inlineStr">
        <is>
          <t>SOBE PARA 13 O NÚMERO DE CASOS SUSPEITOS DE SARAMPO EM RORAIMA, TODOS EM CRIANÇAS</t>
        </is>
      </c>
      <c r="I2264" t="inlineStr">
        <is>
          <t>O CASO CONFIRMADO NA SEMANA PASSADA FOI O DE UMA MENINA VENEZUELANA DE 1 ANO DE IDADE, SEM HISTÓRICO VACINAL</t>
        </is>
      </c>
      <c r="J2264">
        <f>HYPERLINK("https://www.acritica.com/sobe-para-13-o-numero-de-casos-suspeitos-de-sarampo-em-roraima-todos-em-criancas-1.97508", "URL")</f>
        <v/>
      </c>
      <c r="K2264">
        <f>HYPERLINK("https://raw.githubusercontent.com/marcosmapl/dataset_imigrantes/main/noticias_filtered/a_critica/venezuelanos/2018/01_fev/html/1.97508_959.html", "HTML")</f>
        <v/>
      </c>
      <c r="L2264">
        <f>HYPERLINK("https://raw.githubusercontent.com/marcosmapl/dataset_imigrantes/main/noticias_filtered/a_critica/venezuelanos/2018/01_fev/txt/1.97508_959.txt", "TXT")</f>
        <v/>
      </c>
    </row>
    <row r="2265">
      <c r="A2265" s="1" t="n">
        <v>2263</v>
      </c>
      <c r="B2265" t="n">
        <v>2018</v>
      </c>
      <c r="C2265" s="2" t="n">
        <v>43158.52986111111</v>
      </c>
      <c r="D2265" t="inlineStr">
        <is>
          <t>PORTAL AMAZONIA</t>
        </is>
      </c>
      <c r="E2265" t="inlineStr">
        <is>
          <t>VENEZUELANOS</t>
        </is>
      </c>
      <c r="F2265" t="inlineStr">
        <is>
          <t>CIDADES</t>
        </is>
      </c>
      <c r="G2265" t="inlineStr">
        <is>
          <t>REDAÇÃO</t>
        </is>
      </c>
      <c r="H2265" t="inlineStr">
        <is>
          <t>SOBE PARA 13 O NÚMERO DE CASOS SUSPEITOS DE SARAMPO EM RORAIMA</t>
        </is>
      </c>
      <c r="I2265" t="inlineStr">
        <is>
          <t>A SECRETARIA ESTADUAL DE SAÚDE DE RORAIMA ATUALIZOU O NÚMERO DE CASOS SUSPEITOS DE SARAMPO NO ESTADO, PASSANDO DE 12 PARA 13. DESSES, UM FOI CONFIRMADO PELA FUNDAÇÃO OSWALDO CRUZ (FIOCRUZ), NO RIO DE JANEIRO.O CASO CONFIRMADO NA SEMANA PASSADA FOI O</t>
        </is>
      </c>
      <c r="J2265">
        <f>HYPERLINK("https://portalamazonia.com/noticias/cidades/sobe-para-13-o-numero-de-casos-suspeitos-de-sarampo-em-roraima", "URL")</f>
        <v/>
      </c>
      <c r="K2265">
        <f>HYPERLINK("https://raw.githubusercontent.com/marcosmapl/dataset_imigrantes/main/noticias_filtered/portal_amazonia/venezuelanos/2018/01_fev/html/12359.12359_1522.html", "HTML")</f>
        <v/>
      </c>
      <c r="L2265">
        <f>HYPERLINK("https://raw.githubusercontent.com/marcosmapl/dataset_imigrantes/main/noticias_filtered/portal_amazonia/venezuelanos/2018/01_fev/txt/12359.12359_1522.txt", "TXT")</f>
        <v/>
      </c>
    </row>
    <row r="2266">
      <c r="A2266" s="1" t="n">
        <v>2264</v>
      </c>
      <c r="B2266" t="n">
        <v>2018</v>
      </c>
      <c r="C2266" s="2" t="n">
        <v>43157.60902777778</v>
      </c>
      <c r="D2266" t="inlineStr">
        <is>
          <t>PORTAL AMAZONIA</t>
        </is>
      </c>
      <c r="E2266" t="inlineStr">
        <is>
          <t>VENEZUELANOS</t>
        </is>
      </c>
      <c r="F2266" t="inlineStr">
        <is>
          <t>CIDADES</t>
        </is>
      </c>
      <c r="G2266" t="inlineStr">
        <is>
          <t>REDAÇÃO</t>
        </is>
      </c>
      <c r="H2266" t="inlineStr">
        <is>
          <t>VENEZUELANOS QUEREM SEGUIR PARA OUTROS ESTADOS, DIZ PREFEITURA DE BOA VISTA</t>
        </is>
      </c>
      <c r="I2266" t="inlineStr">
        <is>
          <t>DIANTE DA SOLICITAÇÃO DO GOVERNO FEDERAL PARA QUE O PROCESSO DE INTERIORIZAÇÃO SEJA CONCLUÍDO, A PREFEITURA DE BOA VISTA PROMOVEU NESTE SÁBADO (24), UMA AÇÃO DE VACINAÇÃO, AVALIAÇÃO E ATENDIMENTO MÉDICO PARA ATENDER OS VENEZUELANOS QUE ESTÃ</t>
        </is>
      </c>
      <c r="J2266">
        <f>HYPERLINK("https://portalamazonia.com/noticias/cidades/venezuelanos-querem-seguir-para-outros-estados-diz-prefeitura-de-boa-vista", "URL")</f>
        <v/>
      </c>
      <c r="K2266">
        <f>HYPERLINK("https://raw.githubusercontent.com/marcosmapl/dataset_imigrantes/main/noticias_filtered/portal_amazonia/venezuelanos/2018/01_fev/html/12335.12335_1458.html", "HTML")</f>
        <v/>
      </c>
      <c r="L2266">
        <f>HYPERLINK("https://raw.githubusercontent.com/marcosmapl/dataset_imigrantes/main/noticias_filtered/portal_amazonia/venezuelanos/2018/01_fev/txt/12335.12335_1458.txt", "TXT")</f>
        <v/>
      </c>
    </row>
    <row r="2267">
      <c r="A2267" s="1" t="n">
        <v>2265</v>
      </c>
      <c r="B2267" t="n">
        <v>2018</v>
      </c>
      <c r="C2267" s="2" t="n">
        <v>43157.34383109953</v>
      </c>
      <c r="D2267" t="inlineStr">
        <is>
          <t>G1</t>
        </is>
      </c>
      <c r="E2267" t="inlineStr">
        <is>
          <t>HAITIANOS</t>
        </is>
      </c>
      <c r="F2267" t="inlineStr">
        <is>
          <t>DISTRITO FEDERAL</t>
        </is>
      </c>
      <c r="G2267" t="inlineStr">
        <is>
          <t>ANA LUIZA DE CARVALHO*, G1 DF</t>
        </is>
      </c>
      <c r="H2267" t="inlineStr">
        <is>
          <t>REFUGIADOS RECEBEM AULA GRATUITA DE PORTUGUÊS DE VOLUNTÁRIOS NO DF</t>
        </is>
      </c>
      <c r="I2267" t="inlineStr">
        <is>
          <t>ALÉM DE ENSINAR IDIOMA, ALUNOS DE FACULDADE PROMOVEM INTEGRAÇÃO CULTURAL NO PARANOÁ E NO RIACHO FUNDO.</t>
        </is>
      </c>
      <c r="J2267">
        <f>HYPERLINK("https://g1.globo.com/df/distrito-federal/noticia/refugiados-recebem-aula-gratuita-de-portugues-de-voluntarios-no-df.ghtml", "URL")</f>
        <v/>
      </c>
      <c r="K2267">
        <f>HYPERLINK("https://raw.githubusercontent.com/marcosmapl/dataset_imigrantes/main/noticias_filtered/g1/haitianos/2018/01_fev/html/g1_b381151e-232b-11ed-b24f-6dbe51e79fca_4265.html", "HTML")</f>
        <v/>
      </c>
      <c r="L2267">
        <f>HYPERLINK("https://raw.githubusercontent.com/marcosmapl/dataset_imigrantes/main/noticias_filtered/g1/haitianos/2018/01_fev/txt/g1_b381151e-232b-11ed-b24f-6dbe51e79fca_4265.txt", "TXT")</f>
        <v/>
      </c>
    </row>
    <row r="2268">
      <c r="A2268" s="1" t="n">
        <v>2266</v>
      </c>
      <c r="B2268" t="n">
        <v>2018</v>
      </c>
      <c r="C2268" s="2" t="n">
        <v>43155.61527777778</v>
      </c>
      <c r="D2268" t="inlineStr">
        <is>
          <t>PORTAL AMAZONIA</t>
        </is>
      </c>
      <c r="E2268" t="inlineStr">
        <is>
          <t>VENEZUELANOS</t>
        </is>
      </c>
      <c r="F2268" t="inlineStr">
        <is>
          <t>CIDADES</t>
        </is>
      </c>
      <c r="G2268" t="inlineStr">
        <is>
          <t>REDAÇÃO</t>
        </is>
      </c>
      <c r="H2268" t="inlineStr">
        <is>
          <t>BOA VISTA DECRETA SITUAÇÃO DE EMERGÊNCIA SOCIAL POR CAUSA DA CRISE MIGRATÓRIA</t>
        </is>
      </c>
      <c r="I2268" t="inlineStr">
        <is>
          <t>DADOS OFICIAIS APONTAM QUE MAIS DE 40 MIL VENEZUELANOS VIVEM EM BOA VISTA ATUALMENTE. PARA FUGIR DA CRISE HUMANITÁRIA INSTALADA EM SEU PAÍS, ESTIMA-SE QUE, POR DIA, 800 ENTREM EM RORAIMA. A MAIORIA DESSAS PESSOAS VIVE NAS RUAS OU EM ABRIGOS IMPROVISA</t>
        </is>
      </c>
      <c r="J2268">
        <f>HYPERLINK("https://portalamazonia.com/noticias/cidades/boa-vista-decreta-situacao-de-emergencia-social-por-causa-da-crise-migratoria", "URL")</f>
        <v/>
      </c>
      <c r="K2268">
        <f>HYPERLINK("https://raw.githubusercontent.com/marcosmapl/dataset_imigrantes/main/noticias_filtered/portal_amazonia/venezuelanos/2018/01_fev/html/12310.12310_1520.html", "HTML")</f>
        <v/>
      </c>
      <c r="L2268">
        <f>HYPERLINK("https://raw.githubusercontent.com/marcosmapl/dataset_imigrantes/main/noticias_filtered/portal_amazonia/venezuelanos/2018/01_fev/txt/12310.12310_1520.txt", "TXT")</f>
        <v/>
      </c>
    </row>
    <row r="2269">
      <c r="A2269" s="1" t="n">
        <v>2267</v>
      </c>
      <c r="B2269" t="n">
        <v>2018</v>
      </c>
      <c r="C2269" s="2" t="n">
        <v>43155.48888888889</v>
      </c>
      <c r="D2269" t="inlineStr">
        <is>
          <t>PORTAL AMAZONIA</t>
        </is>
      </c>
      <c r="E2269" t="inlineStr">
        <is>
          <t>VENEZUELANOS</t>
        </is>
      </c>
      <c r="F2269" t="inlineStr">
        <is>
          <t>CIDADES</t>
        </is>
      </c>
      <c r="G2269" t="inlineStr">
        <is>
          <t>REDAÇÃO</t>
        </is>
      </c>
      <c r="H2269" t="inlineStr">
        <is>
          <t>PREFEITO DE MANAUS QUER AJUDA FEDERAL E ESTADUAL PARA RECEBER REFUGIADOS VENEZUELANOS</t>
        </is>
      </c>
      <c r="I2269" t="inlineStr">
        <is>
          <t>O PREFEITO DE MANAUS ARTHUR VIRGÍLIO NETO ANUNCIOU NESTA SEXTA-FEIRA (23), QUE MANAUS SÓ ESTARÁ APTA A PARTICIPAR DO PROCESSO DE TRANSFERÊNCIA DE VENEZUELANOS, QUE ESTÃO EM RORAIMA, COM A GARANTIA DE VERBAS DO GOVERNO FEDERAL E ESTADUAL DESTINAD</t>
        </is>
      </c>
      <c r="J2269">
        <f>HYPERLINK("https://portalamazonia.com/noticias/cidades/prefeito-de-manaus-quer-ajuda-federal-e-estadual-para-receber-refugiados-venezuelanos", "URL")</f>
        <v/>
      </c>
      <c r="K2269">
        <f>HYPERLINK("https://raw.githubusercontent.com/marcosmapl/dataset_imigrantes/main/noticias_filtered/portal_amazonia/venezuelanos/2018/01_fev/html/12306.12306_1445.html", "HTML")</f>
        <v/>
      </c>
      <c r="L2269">
        <f>HYPERLINK("https://raw.githubusercontent.com/marcosmapl/dataset_imigrantes/main/noticias_filtered/portal_amazonia/venezuelanos/2018/01_fev/txt/12306.12306_1445.txt", "TXT")</f>
        <v/>
      </c>
    </row>
    <row r="2270">
      <c r="A2270" s="1" t="n">
        <v>2268</v>
      </c>
      <c r="B2270" t="n">
        <v>2018</v>
      </c>
      <c r="C2270" s="2" t="n">
        <v>43155.125</v>
      </c>
      <c r="D2270" t="inlineStr">
        <is>
          <t>A CRITICA</t>
        </is>
      </c>
      <c r="E2270" t="inlineStr">
        <is>
          <t>VENEZUELANOS</t>
        </is>
      </c>
      <c r="F2270" t="inlineStr">
        <is>
          <t>OPINIAO</t>
        </is>
      </c>
      <c r="G2270" t="inlineStr">
        <is>
          <t>ORLANDO CÂMARA</t>
        </is>
      </c>
      <c r="H2270" t="inlineStr">
        <is>
          <t>A SOCIEDADE DIGITAL E A FALTA DE CONEXÃO</t>
        </is>
      </c>
      <c r="I2270" t="inlineStr">
        <is>
          <t>CRÔNICAS DE DOMINGO - 25 DE FEVEREIRO DE 2018</t>
        </is>
      </c>
      <c r="J2270">
        <f>HYPERLINK("https://www.acritica.com/opiniao/a-sociedade-digital-e-a-falta-de-conex-o-1.217172", "URL")</f>
        <v/>
      </c>
      <c r="K2270">
        <f>HYPERLINK("https://raw.githubusercontent.com/marcosmapl/dataset_imigrantes/main/noticias_filtered/a_critica/venezuelanos/2018/01_fev/html/1.217172_644.html", "HTML")</f>
        <v/>
      </c>
      <c r="L2270">
        <f>HYPERLINK("https://raw.githubusercontent.com/marcosmapl/dataset_imigrantes/main/noticias_filtered/a_critica/venezuelanos/2018/01_fev/txt/1.217172_644.txt", "TXT")</f>
        <v/>
      </c>
    </row>
    <row r="2271">
      <c r="A2271" s="1" t="n">
        <v>2269</v>
      </c>
      <c r="B2271" t="n">
        <v>2018</v>
      </c>
      <c r="C2271" s="2" t="n">
        <v>43154.35069444445</v>
      </c>
      <c r="D2271" t="inlineStr">
        <is>
          <t>A CRITICA</t>
        </is>
      </c>
      <c r="E2271" t="inlineStr">
        <is>
          <t>VENEZUELANOS</t>
        </is>
      </c>
      <c r="F2271" t="inlineStr"/>
      <c r="G2271" t="inlineStr"/>
      <c r="H2271" t="inlineStr">
        <is>
          <t>O ALMOÇO DE TEMER COM OMAR E ARTHUR</t>
        </is>
      </c>
      <c r="I2271" t="inlineStr"/>
      <c r="J2271">
        <f>HYPERLINK("https://www.acritica.com/o-almoco-de-temer-com-omar-e-arthur-1.229398", "URL")</f>
        <v/>
      </c>
      <c r="K2271">
        <f>HYPERLINK("https://raw.githubusercontent.com/marcosmapl/dataset_imigrantes/main/noticias_filtered/a_critica/venezuelanos/2018/01_fev/html/1.229398_1125.html", "HTML")</f>
        <v/>
      </c>
      <c r="L2271">
        <f>HYPERLINK("https://raw.githubusercontent.com/marcosmapl/dataset_imigrantes/main/noticias_filtered/a_critica/venezuelanos/2018/01_fev/txt/1.229398_1125.txt", "TXT")</f>
        <v/>
      </c>
    </row>
    <row r="2272">
      <c r="A2272" s="1" t="n">
        <v>2270</v>
      </c>
      <c r="B2272" t="n">
        <v>2018</v>
      </c>
      <c r="C2272" s="2" t="n">
        <v>43153.53888888889</v>
      </c>
      <c r="D2272" t="inlineStr">
        <is>
          <t>PORTAL AMAZONIA</t>
        </is>
      </c>
      <c r="E2272" t="inlineStr">
        <is>
          <t>VENEZUELANOS</t>
        </is>
      </c>
      <c r="F2272" t="inlineStr">
        <is>
          <t>CIDADES</t>
        </is>
      </c>
      <c r="G2272" t="inlineStr">
        <is>
          <t>REDAÇÃO</t>
        </is>
      </c>
      <c r="H2272" t="inlineStr">
        <is>
          <t>AMAZONAS ABRIGA 148 INDÍGENAS VENEZUELANOS, AFIRMA SECRETÁRIA AUXILIADORA ABRANTES</t>
        </is>
      </c>
      <c r="I2272" t="inlineStr">
        <is>
          <t>EM ENTREVISTA AO JORNAL DA CBN NESTA QUINTA-FEIRA (22), A SECRETÁRIA DE ESTADO DE ASSISTÊNCIA SOCIAL DO AMAZONAS, AUXILIADORA ABRANTES PINTO, AFIRMOU QUE MANAUS ABRIGA 148 VENEZUELANOS. PORÉM, O TITULAR DA SECRETARIA MUNICIPAL DE ASSISTÊNCIA SOCIAL E</t>
        </is>
      </c>
      <c r="J2272">
        <f>HYPERLINK("https://portalamazonia.com/noticias/cidades/amazonas-abriga-148-indigenas-venezuelanos-afirma-secretaria-auxiliadora-abrantes", "URL")</f>
        <v/>
      </c>
      <c r="K2272">
        <f>HYPERLINK("https://raw.githubusercontent.com/marcosmapl/dataset_imigrantes/main/noticias_filtered/portal_amazonia/venezuelanos/2018/01_fev/html/12245.25668_1392.html", "HTML")</f>
        <v/>
      </c>
      <c r="L2272">
        <f>HYPERLINK("https://raw.githubusercontent.com/marcosmapl/dataset_imigrantes/main/noticias_filtered/portal_amazonia/venezuelanos/2018/01_fev/txt/12245.25668_1392.txt", "TXT")</f>
        <v/>
      </c>
    </row>
    <row r="2273">
      <c r="A2273" s="1" t="n">
        <v>2271</v>
      </c>
      <c r="B2273" t="n">
        <v>2018</v>
      </c>
      <c r="C2273" s="2" t="n">
        <v>43153.50972222222</v>
      </c>
      <c r="D2273" t="inlineStr">
        <is>
          <t>PORTAL AMAZONIA</t>
        </is>
      </c>
      <c r="E2273" t="inlineStr">
        <is>
          <t>VENEZUELANOS</t>
        </is>
      </c>
      <c r="F2273" t="inlineStr">
        <is>
          <t>CIDADES</t>
        </is>
      </c>
      <c r="G2273" t="inlineStr">
        <is>
          <t>REDAÇÃO</t>
        </is>
      </c>
      <c r="H2273" t="inlineStr">
        <is>
          <t>MANAUS RECEBE 180 VENEZUELANOS VINDOS DE RORAIMA NOS PRÓXIMOS 15 DIAS</t>
        </is>
      </c>
      <c r="I2273" t="inlineStr">
        <is>
          <t>EM CERCA DE 15 DIAS, AS CIDADES DE MANAUS E SÃO PAULO RECEBERÃO OS PRIMEIROS VENEZUELANOS ATUALMENTE ABRIGADOS EM RORAIMA. NESTE PRIMEIRO MOMENTO, 350 PESSOAS SERÃO ENCAMINHADAS PARA SÃO PAULO E 180 PARA A CAPITAL DO AMAZONAS. OS VENEZUELANOS ES</t>
        </is>
      </c>
      <c r="J2273">
        <f>HYPERLINK("https://portalamazonia.com/noticias/cidades/manaus-recebe-180-venezuelanos-vindos-de-roraima-nos-proximos-15-dias", "URL")</f>
        <v/>
      </c>
      <c r="K2273">
        <f>HYPERLINK("https://raw.githubusercontent.com/marcosmapl/dataset_imigrantes/main/noticias_filtered/portal_amazonia/venezuelanos/2018/01_fev/html/12244.12244_1433.html", "HTML")</f>
        <v/>
      </c>
      <c r="L2273">
        <f>HYPERLINK("https://raw.githubusercontent.com/marcosmapl/dataset_imigrantes/main/noticias_filtered/portal_amazonia/venezuelanos/2018/01_fev/txt/12244.12244_1433.txt", "TXT")</f>
        <v/>
      </c>
    </row>
    <row r="2274">
      <c r="A2274" s="1" t="n">
        <v>2272</v>
      </c>
      <c r="B2274" t="n">
        <v>2018</v>
      </c>
      <c r="C2274" s="2" t="n">
        <v>43152.99027777778</v>
      </c>
      <c r="D2274" t="inlineStr">
        <is>
          <t>A CRITICA</t>
        </is>
      </c>
      <c r="E2274" t="inlineStr">
        <is>
          <t>VENEZUELANOS</t>
        </is>
      </c>
      <c r="F2274" t="inlineStr"/>
      <c r="G2274" t="inlineStr">
        <is>
          <t>VITOR GAVIRATI</t>
        </is>
      </c>
      <c r="H2274" t="inlineStr">
        <is>
          <t>AMAZONAS VAI RECEBER 180 VENEZUELANOS DE RORAIMA ENVIADOS PELO GOVERNO FEDERAL</t>
        </is>
      </c>
      <c r="I2274" t="inlineStr">
        <is>
          <t>ATUALMENTE, O GRUPO FORMADO POR HOMENS SOLTEIROS COM QUALIFICAÇÃO PROFISSIONAL E DESEJO DE FICAR NO BRASIL ESTÁ EM "QUARENTENA", APÓS TER SIDO VACINADO CONTRA DOENÇAS COMO SARAMPO E FEBRE AMARELA</t>
        </is>
      </c>
      <c r="J2274">
        <f>HYPERLINK("https://www.acritica.com/amazonas-vai-receber-180-venezuelanos-de-roraima-enviados-pelo-governo-federal-1.103146", "URL")</f>
        <v/>
      </c>
      <c r="K2274">
        <f>HYPERLINK("https://raw.githubusercontent.com/marcosmapl/dataset_imigrantes/main/noticias_filtered/a_critica/venezuelanos/2018/01_fev/html/1.103146_974.html", "HTML")</f>
        <v/>
      </c>
      <c r="L2274">
        <f>HYPERLINK("https://raw.githubusercontent.com/marcosmapl/dataset_imigrantes/main/noticias_filtered/a_critica/venezuelanos/2018/01_fev/txt/1.103146_974.txt", "TXT")</f>
        <v/>
      </c>
    </row>
    <row r="2275">
      <c r="A2275" s="1" t="n">
        <v>2273</v>
      </c>
      <c r="B2275" t="n">
        <v>2018</v>
      </c>
      <c r="C2275" s="2" t="n">
        <v>43152.50972222222</v>
      </c>
      <c r="D2275" t="inlineStr">
        <is>
          <t>PORTAL AMAZONIA</t>
        </is>
      </c>
      <c r="E2275" t="inlineStr">
        <is>
          <t>VENEZUELANOS</t>
        </is>
      </c>
      <c r="F2275" t="inlineStr">
        <is>
          <t>CIDADES</t>
        </is>
      </c>
      <c r="G2275" t="inlineStr">
        <is>
          <t>REDAÇÃO</t>
        </is>
      </c>
      <c r="H2275" t="inlineStr">
        <is>
          <t>AUMENTA NÚMERO DE CASOS SUSPEITOS DE SARAMPO EM RORAIMA</t>
        </is>
      </c>
      <c r="I2275" t="inlineStr">
        <is>
          <t>A SECRETARIA ESTADUAL DE SAÚDE DE RORAIMA CONFIRMOU NESTA TERÇA-FEIRA (20) QUE SETE CASOS SUSPEITOS DE SARAMPO ESTÃO SOB INVESTIGAÇÃO. UMA CRIANÇA VENEZUELANA DE 1 ANO DE IDADE, SEM HISTÓRICO VACINAL, JÁ TEVE A CONTAMINAÇÃO POR SARAMPO CONFIRMADA PEL</t>
        </is>
      </c>
      <c r="J2275">
        <f>HYPERLINK("https://portalamazonia.com/noticias/cidades/aumenta-numero-de-casos-suspeitos-de-sarampo-em-roraima", "URL")</f>
        <v/>
      </c>
      <c r="K2275">
        <f>HYPERLINK("https://raw.githubusercontent.com/marcosmapl/dataset_imigrantes/main/noticias_filtered/portal_amazonia/venezuelanos/2018/01_fev/html/12208.12208_1501.html", "HTML")</f>
        <v/>
      </c>
      <c r="L2275">
        <f>HYPERLINK("https://raw.githubusercontent.com/marcosmapl/dataset_imigrantes/main/noticias_filtered/portal_amazonia/venezuelanos/2018/01_fev/txt/12208.12208_1501.txt", "TXT")</f>
        <v/>
      </c>
    </row>
    <row r="2276">
      <c r="A2276" s="1" t="n">
        <v>2274</v>
      </c>
      <c r="B2276" t="n">
        <v>2018</v>
      </c>
      <c r="C2276" s="2" t="n">
        <v>43151.89583333334</v>
      </c>
      <c r="D2276" t="inlineStr">
        <is>
          <t>G1</t>
        </is>
      </c>
      <c r="E2276" t="inlineStr">
        <is>
          <t>VENEZUELANOS</t>
        </is>
      </c>
      <c r="F2276" t="inlineStr"/>
      <c r="G2276" t="inlineStr"/>
      <c r="H2276" t="inlineStr">
        <is>
          <t>FILHOS DA IMIGRAÇÃO: EM RORAIMA, 150 VENEZUELANAS DERAM À LUZ EM JANEIRO</t>
        </is>
      </c>
      <c r="I2276" t="inlineStr"/>
      <c r="J2276">
        <f>HYPERLINK("http://g1.globo.com/jornal-nacional/noticia/2018/02/filhos-da-imigracao-em-roraima-150-venezuelanas-deram-luz-em-janeiro.html", "URL")</f>
        <v/>
      </c>
      <c r="K2276">
        <f>HYPERLINK("https://raw.githubusercontent.com/marcosmapl/dataset_imigrantes/main/noticias_filtered/g1/venezuelanos/2018/01_fev/html/g1_136c0c6c-2323-11ed-b24f-6dbe51e79fca_3786.html", "HTML")</f>
        <v/>
      </c>
      <c r="L2276">
        <f>HYPERLINK("https://raw.githubusercontent.com/marcosmapl/dataset_imigrantes/main/noticias_filtered/g1/venezuelanos/2018/01_fev/txt/g1_136c0c6c-2323-11ed-b24f-6dbe51e79fca_3786.txt", "TXT")</f>
        <v/>
      </c>
    </row>
    <row r="2277">
      <c r="A2277" s="1" t="n">
        <v>2275</v>
      </c>
      <c r="B2277" t="n">
        <v>2018</v>
      </c>
      <c r="C2277" s="2" t="n">
        <v>43151.74713287037</v>
      </c>
      <c r="D2277" t="inlineStr">
        <is>
          <t>G1</t>
        </is>
      </c>
      <c r="E2277" t="inlineStr">
        <is>
          <t>VENEZUELANOS</t>
        </is>
      </c>
      <c r="F2277" t="inlineStr">
        <is>
          <t>RORAIMA</t>
        </is>
      </c>
      <c r="G2277" t="inlineStr">
        <is>
          <t>ALAN CHAVES, G1 RR</t>
        </is>
      </c>
      <c r="H2277" t="inlineStr">
        <is>
          <t>APÓS CASO DE SARAMPO EM BEBÊ VENEZUELANA, SAÚDE DE RORAIMA REVISA 20 MIL PRONTUÁRIOS MÉDICOS</t>
        </is>
      </c>
      <c r="I2277" t="inlineStr">
        <is>
          <t>REVISÃO É FEITA PARA LOCALIZAR POSSÍVEIS CASOS SUSPEITOS DE SARAMPO EM BOA VISTA. SAÚDE INVESTIGA SETE NOVOS CASOS DA DOENÇA EM CRIANÇAS.</t>
        </is>
      </c>
      <c r="J2277">
        <f>HYPERLINK("https://g1.globo.com/rr/roraima/noticia/apos-caso-de-sarampo-em-bebe-venezuelana-saude-de-roraima-revisa-20-mil-prontuarios-medicos.ghtml", "URL")</f>
        <v/>
      </c>
      <c r="K2277">
        <f>HYPERLINK("https://raw.githubusercontent.com/marcosmapl/dataset_imigrantes/main/noticias_filtered/g1/venezuelanos/2018/01_fev/html/g1_27ee818a-2317-11ed-b24f-6dbe51e79fca_3189.html", "HTML")</f>
        <v/>
      </c>
      <c r="L2277">
        <f>HYPERLINK("https://raw.githubusercontent.com/marcosmapl/dataset_imigrantes/main/noticias_filtered/g1/venezuelanos/2018/01_fev/txt/g1_27ee818a-2317-11ed-b24f-6dbe51e79fca_3189.txt", "TXT")</f>
        <v/>
      </c>
    </row>
    <row r="2278">
      <c r="A2278" s="1" t="n">
        <v>2276</v>
      </c>
      <c r="B2278" t="n">
        <v>2018</v>
      </c>
      <c r="C2278" s="2" t="n">
        <v>43151.72847222222</v>
      </c>
      <c r="D2278" t="inlineStr">
        <is>
          <t>A CRITICA</t>
        </is>
      </c>
      <c r="E2278" t="inlineStr">
        <is>
          <t>VENEZUELANOS</t>
        </is>
      </c>
      <c r="F2278" t="inlineStr"/>
      <c r="G2278" t="inlineStr">
        <is>
          <t>ACRÍTICA.COM</t>
        </is>
      </c>
      <c r="H2278" t="inlineStr">
        <is>
          <t>RORAIMA CONFIRMA SETE CASOS SUSPEITOS DE SARAMPO EM CRIANÇAS DE 7 MESES A 10 ANOS</t>
        </is>
      </c>
      <c r="I2278" t="inlineStr">
        <is>
          <t>SÃO SEIS CRIANÇAS VENEZUELANAS E UMA BRASILEIRA. UMA CRIANÇA VENEZUELANA DE 1 ANO, SEM HISTÓRICO VACINAL, JÁ TEVE A CONTAMINAÇÃO CONFIRMADA PELA FIOCRUZ</t>
        </is>
      </c>
      <c r="J2278">
        <f>HYPERLINK("https://www.acritica.com/roraima-confirma-sete-casos-suspeitos-de-sarampo-em-criancas-de-7-meses-a-10-anos-1.103210", "URL")</f>
        <v/>
      </c>
      <c r="K2278">
        <f>HYPERLINK("https://raw.githubusercontent.com/marcosmapl/dataset_imigrantes/main/noticias_filtered/a_critica/venezuelanos/2018/01_fev/html/1.103210_382.html", "HTML")</f>
        <v/>
      </c>
      <c r="L2278">
        <f>HYPERLINK("https://raw.githubusercontent.com/marcosmapl/dataset_imigrantes/main/noticias_filtered/a_critica/venezuelanos/2018/01_fev/txt/1.103210_382.txt", "TXT")</f>
        <v/>
      </c>
    </row>
    <row r="2279">
      <c r="A2279" s="1" t="n">
        <v>2277</v>
      </c>
      <c r="B2279" t="n">
        <v>2018</v>
      </c>
      <c r="C2279" s="2" t="n">
        <v>43150.9207208912</v>
      </c>
      <c r="D2279" t="inlineStr">
        <is>
          <t>G1</t>
        </is>
      </c>
      <c r="E2279" t="inlineStr">
        <is>
          <t>VENEZUELANOS</t>
        </is>
      </c>
      <c r="F2279" t="inlineStr">
        <is>
          <t>RORAIMA</t>
        </is>
      </c>
      <c r="G2279" t="inlineStr">
        <is>
          <t>G1 RR</t>
        </is>
      </c>
      <c r="H2279" t="inlineStr">
        <is>
          <t>SAÚDE DE RORAIMA INVESTIGA OUTROS 7 CASOS SUSPEITOS DE SARAMPO EM CRIANÇAS VENEZUELANAS E BRASILEIRA</t>
        </is>
      </c>
      <c r="I2279" t="inlineStr">
        <is>
          <t>COLETAS DE EXAMES SERÃO ENVIADAS À FIOCRUZ PARA CONFIRMAÇÃO. DUAS CRIANÇAS ESTÃO INTERNADAS.</t>
        </is>
      </c>
      <c r="J2279">
        <f>HYPERLINK("https://g1.globo.com/rr/roraima/noticia/saude-de-roraima-investiga-outros-7-casos-suspeitos-de-sarampo-em-criancas-venezuelanas-e-brasileira.ghtml", "URL")</f>
        <v/>
      </c>
      <c r="K2279">
        <f>HYPERLINK("https://raw.githubusercontent.com/marcosmapl/dataset_imigrantes/main/noticias_filtered/g1/venezuelanos/2018/01_fev/html/g1_5bfea136-230c-11ed-b24f-6dbe51e79fca_2619.html", "HTML")</f>
        <v/>
      </c>
      <c r="L2279">
        <f>HYPERLINK("https://raw.githubusercontent.com/marcosmapl/dataset_imigrantes/main/noticias_filtered/g1/venezuelanos/2018/01_fev/txt/g1_5bfea136-230c-11ed-b24f-6dbe51e79fca_2619.txt", "TXT")</f>
        <v/>
      </c>
    </row>
    <row r="2280">
      <c r="A2280" s="1" t="n">
        <v>2278</v>
      </c>
      <c r="B2280" t="n">
        <v>2018</v>
      </c>
      <c r="C2280" s="2" t="n">
        <v>43150.79184134259</v>
      </c>
      <c r="D2280" t="inlineStr">
        <is>
          <t>G1</t>
        </is>
      </c>
      <c r="E2280" t="inlineStr">
        <is>
          <t>VENEZUELANOS</t>
        </is>
      </c>
      <c r="F2280" t="inlineStr">
        <is>
          <t>MUNDO</t>
        </is>
      </c>
      <c r="G2280" t="inlineStr">
        <is>
          <t>AGÊNCIA EFE</t>
        </is>
      </c>
      <c r="H2280" t="inlineStr">
        <is>
          <t>CONSTITUINTE VENEZUELANO RECOMENDA QUE MADURO NÃO VÁ À CÚPULA DAS AMÉRICAS</t>
        </is>
      </c>
      <c r="I2280" t="inlineStr">
        <is>
          <t>HERMANN ESCARRÁ É PRESIDENTE DA COMISSÃO CONSTITUCIONAL DA ASSEMBLEIA NACIONAL CONSTITUINTE. 'É MAIS UM CUSTO NA ORDEM POLÍTICA, NA ORDEM PÚBLICA, AO QUAL SE EXPÕE, DO QUE ALGO QUE REALMENTE PODERIA TRAZER GANHOS', DISSE DEPUTADO À TV; PERU AFIRMA QUE NÃO PERMITIRÁ ENTRADA DE MADURO NO PAÍS.</t>
        </is>
      </c>
      <c r="J2280">
        <f>HYPERLINK("https://g1.globo.com/mundo/noticia/constituinte-venezuelano-recomenda-que-maduro-nao-va-a-cupula-das-americas.ghtml", "URL")</f>
        <v/>
      </c>
      <c r="K2280">
        <f>HYPERLINK("https://raw.githubusercontent.com/marcosmapl/dataset_imigrantes/main/noticias_filtered/g1/venezuelanos/2018/01_fev/html/g1_87173fd6-2311-11ed-b24f-6dbe51e79fca_2920.html", "HTML")</f>
        <v/>
      </c>
      <c r="L2280">
        <f>HYPERLINK("https://raw.githubusercontent.com/marcosmapl/dataset_imigrantes/main/noticias_filtered/g1/venezuelanos/2018/01_fev/txt/g1_87173fd6-2311-11ed-b24f-6dbe51e79fca_2920.txt", "TXT")</f>
        <v/>
      </c>
    </row>
    <row r="2281">
      <c r="A2281" s="1" t="n">
        <v>2279</v>
      </c>
      <c r="B2281" t="n">
        <v>2018</v>
      </c>
      <c r="C2281" s="2" t="n">
        <v>43150.63190972222</v>
      </c>
      <c r="D2281" t="inlineStr">
        <is>
          <t>A CRITICA</t>
        </is>
      </c>
      <c r="E2281" t="inlineStr">
        <is>
          <t>VENEZUELANOS</t>
        </is>
      </c>
      <c r="F2281" t="inlineStr"/>
      <c r="G2281" t="inlineStr">
        <is>
          <t>PEDRO PEDUZZI -  AGÊNCIA BRASIL</t>
        </is>
      </c>
      <c r="H2281" t="inlineStr">
        <is>
          <t>MINISTRO DIZ QUE BRASIL MANTÉM PORTAS ABERTAS PARA RECEBER REFUGIADOS</t>
        </is>
      </c>
      <c r="I2281" t="inlineStr">
        <is>
          <t>PARA O MINISTRO, A RESPOSTA DO BRASIL AO DRAMA DOS REFUGIADOS, EM ESPECIAL NO CASO DOS VENEZUELANOS QUE BUSCAM REFÚGIO NO PAÍS, TEM SIDO UM “ESTRITO CUMPRIMENTO” DAS OBRIGAÇÕES DO PAÍS.</t>
        </is>
      </c>
      <c r="J2281">
        <f>HYPERLINK("https://www.acritica.com/ministro-diz-que-brasil-mantem-portas-abertas-para-receber-refugiados-1.96582", "URL")</f>
        <v/>
      </c>
      <c r="K2281">
        <f>HYPERLINK("https://raw.githubusercontent.com/marcosmapl/dataset_imigrantes/main/noticias_filtered/a_critica/venezuelanos/2018/01_fev/html/1.96582_679.html", "HTML")</f>
        <v/>
      </c>
      <c r="L2281">
        <f>HYPERLINK("https://raw.githubusercontent.com/marcosmapl/dataset_imigrantes/main/noticias_filtered/a_critica/venezuelanos/2018/01_fev/txt/1.96582_679.txt", "TXT")</f>
        <v/>
      </c>
    </row>
    <row r="2282">
      <c r="A2282" s="1" t="n">
        <v>2280</v>
      </c>
      <c r="B2282" t="n">
        <v>2018</v>
      </c>
      <c r="C2282" s="2" t="n">
        <v>43149.55208333334</v>
      </c>
      <c r="D2282" t="inlineStr">
        <is>
          <t>PORTAL AMAZONIA</t>
        </is>
      </c>
      <c r="E2282" t="inlineStr">
        <is>
          <t>VENEZUELANOS</t>
        </is>
      </c>
      <c r="F2282" t="inlineStr">
        <is>
          <t>CIDADES</t>
        </is>
      </c>
      <c r="G2282" t="inlineStr">
        <is>
          <t>REDAÇÃO</t>
        </is>
      </c>
      <c r="H2282" t="inlineStr">
        <is>
          <t>FORÇA TAREFA EM RORAIMA PARA IMUNIZAR VENEZUELANOS CONTRA O SARAMPO</t>
        </is>
      </c>
      <c r="I2282" t="inlineStr">
        <is>
          <t>PELO QUARTO DIA CONSECUTIVO, DESDE UM DIAGNÓSTICO POSITIVO DE SARAMPO NO INÍCIO DA SEMANA, AS EQUIPES DE SAÚDE DE RORAIMA SEGUEM COM AS AÇÕES DE VACINAÇÃO JUNTO AOS VENEZUELANOS ABRIGADOS QUE, NO MOMENTO, SÃO O PÚBLICO MAIS VULNERÁVEL AO VÍRUS. NESTE</t>
        </is>
      </c>
      <c r="J2282">
        <f>HYPERLINK("https://portalamazonia.com/noticias/cidades/forca-tarefa-em-roraima-para-imunizar-venezuelanos-contra-o-sarampo", "URL")</f>
        <v/>
      </c>
      <c r="K2282">
        <f>HYPERLINK("https://raw.githubusercontent.com/marcosmapl/dataset_imigrantes/main/noticias_filtered/portal_amazonia/venezuelanos/2018/01_fev/html/12150.12150_1560.html", "HTML")</f>
        <v/>
      </c>
      <c r="L2282">
        <f>HYPERLINK("https://raw.githubusercontent.com/marcosmapl/dataset_imigrantes/main/noticias_filtered/portal_amazonia/venezuelanos/2018/01_fev/txt/12150.12150_1560.txt", "TXT")</f>
        <v/>
      </c>
    </row>
    <row r="2283">
      <c r="A2283" s="1" t="n">
        <v>2281</v>
      </c>
      <c r="B2283" t="n">
        <v>2018</v>
      </c>
      <c r="C2283" s="2" t="n">
        <v>43149.125</v>
      </c>
      <c r="D2283" t="inlineStr">
        <is>
          <t>A CRITICA</t>
        </is>
      </c>
      <c r="E2283" t="inlineStr">
        <is>
          <t>VENEZUELANOS</t>
        </is>
      </c>
      <c r="F2283" t="inlineStr">
        <is>
          <t>OPINIAO</t>
        </is>
      </c>
      <c r="G2283" t="inlineStr">
        <is>
          <t>ORLANDO CÂMARA</t>
        </is>
      </c>
      <c r="H2283" t="inlineStr">
        <is>
          <t>NO CAMINHO</t>
        </is>
      </c>
      <c r="I2283" t="inlineStr">
        <is>
          <t>CRÔNICAS DE DOMINGO - 18 DE FEVEREIRO DE 2018</t>
        </is>
      </c>
      <c r="J2283">
        <f>HYPERLINK("https://www.acritica.com/opiniao/no-caminho-1.217179", "URL")</f>
        <v/>
      </c>
      <c r="K2283">
        <f>HYPERLINK("https://raw.githubusercontent.com/marcosmapl/dataset_imigrantes/main/noticias_filtered/a_critica/venezuelanos/2018/01_fev/html/1.217179_298.html", "HTML")</f>
        <v/>
      </c>
      <c r="L2283">
        <f>HYPERLINK("https://raw.githubusercontent.com/marcosmapl/dataset_imigrantes/main/noticias_filtered/a_critica/venezuelanos/2018/01_fev/txt/1.217179_298.txt", "TXT")</f>
        <v/>
      </c>
    </row>
    <row r="2284">
      <c r="A2284" s="1" t="n">
        <v>2282</v>
      </c>
      <c r="B2284" t="n">
        <v>2018</v>
      </c>
      <c r="C2284" s="2" t="n">
        <v>43148.95383206019</v>
      </c>
      <c r="D2284" t="inlineStr">
        <is>
          <t>G1</t>
        </is>
      </c>
      <c r="E2284" t="inlineStr">
        <is>
          <t>VENEZUELANOS</t>
        </is>
      </c>
      <c r="F2284" t="inlineStr">
        <is>
          <t>RORAIMA</t>
        </is>
      </c>
      <c r="G2284" t="inlineStr">
        <is>
          <t>MARCELO MARQUES, G1 RR</t>
        </is>
      </c>
      <c r="H2284" t="inlineStr">
        <is>
          <t>PASTOR DIZ TER SIDO ATACADO POR TRAVESTIS VENEZUELANAS COM PRODUTO QUÍMICO EM RR</t>
        </is>
      </c>
      <c r="I2284" t="inlineStr">
        <is>
          <t>ESTE É O TERCEIRO ATAQUE COM PRODUTOS QUÍMICOS REGISTRADO NA CAPITAL EM TRÊS MESES.</t>
        </is>
      </c>
      <c r="J2284">
        <f>HYPERLINK("https://g1.globo.com/rr/roraima/noticia/travestis-venezuelanos-atacam-pastor-com-produto-quimico-durante-assalto-em-rr.ghtml", "URL")</f>
        <v/>
      </c>
      <c r="K2284">
        <f>HYPERLINK("https://raw.githubusercontent.com/marcosmapl/dataset_imigrantes/main/noticias_filtered/g1/venezuelanos/2018/01_fev/html/g1_b92ac3f2-230d-11ed-b24f-6dbe51e79fca_2703.html", "HTML")</f>
        <v/>
      </c>
      <c r="L2284">
        <f>HYPERLINK("https://raw.githubusercontent.com/marcosmapl/dataset_imigrantes/main/noticias_filtered/g1/venezuelanos/2018/01_fev/txt/g1_b92ac3f2-230d-11ed-b24f-6dbe51e79fca_2703.txt", "TXT")</f>
        <v/>
      </c>
    </row>
    <row r="2285">
      <c r="A2285" s="1" t="n">
        <v>2283</v>
      </c>
      <c r="B2285" t="n">
        <v>2018</v>
      </c>
      <c r="C2285" s="2" t="n">
        <v>43147.97539446759</v>
      </c>
      <c r="D2285" t="inlineStr">
        <is>
          <t>G1</t>
        </is>
      </c>
      <c r="E2285" t="inlineStr">
        <is>
          <t>VENEZUELANOS</t>
        </is>
      </c>
      <c r="F2285" t="inlineStr">
        <is>
          <t>RORAIMA</t>
        </is>
      </c>
      <c r="G2285" t="inlineStr">
        <is>
          <t>G1 RR</t>
        </is>
      </c>
      <c r="H2285" t="inlineStr">
        <is>
          <t>EXAMES DESCARTAM SARAMPO EM DUAS CRIANÇAS VENEZUELANAS EM RR, DIZ SAÚDE</t>
        </is>
      </c>
      <c r="I2285" t="inlineStr">
        <is>
          <t>CASOS ESTAVAM SOB SUSPEITA. UMA BEBÊ VENEZUELANA FOI DIAGNOSTICADA COM A DOENÇA EM BOA VISTA.</t>
        </is>
      </c>
      <c r="J2285">
        <f>HYPERLINK("https://g1.globo.com/rr/roraima/noticia/exames-descartam-sarampo-em-duas-criancas-venezuelanas-em-rr-diz-saude.ghtml", "URL")</f>
        <v/>
      </c>
      <c r="K2285">
        <f>HYPERLINK("https://raw.githubusercontent.com/marcosmapl/dataset_imigrantes/main/noticias_filtered/g1/venezuelanos/2018/01_fev/html/g1_5ec6ccb8-2307-11ed-b24f-6dbe51e79fca_2314.html", "HTML")</f>
        <v/>
      </c>
      <c r="L2285">
        <f>HYPERLINK("https://raw.githubusercontent.com/marcosmapl/dataset_imigrantes/main/noticias_filtered/g1/venezuelanos/2018/01_fev/txt/g1_5ec6ccb8-2307-11ed-b24f-6dbe51e79fca_2314.txt", "TXT")</f>
        <v/>
      </c>
    </row>
    <row r="2286">
      <c r="A2286" s="1" t="n">
        <v>2284</v>
      </c>
      <c r="B2286" t="n">
        <v>2018</v>
      </c>
      <c r="C2286" s="2" t="n">
        <v>43147.93194444444</v>
      </c>
      <c r="D2286" t="inlineStr">
        <is>
          <t>A CRITICA</t>
        </is>
      </c>
      <c r="E2286" t="inlineStr">
        <is>
          <t>VENEZUELANOS</t>
        </is>
      </c>
      <c r="F2286" t="inlineStr">
        <is>
          <t>ESPORTES</t>
        </is>
      </c>
      <c r="G2286" t="inlineStr">
        <is>
          <t>DENIR SIMPLÍCIO</t>
        </is>
      </c>
      <c r="H2286" t="inlineStr">
        <is>
          <t>JÁ CLASSIFICADO, FAST ESTREIA VENEZUELANOS EM DUELO CONTRA O AGONIZANTE NACIONAL</t>
        </is>
      </c>
      <c r="I2286" t="inlineStr">
        <is>
          <t>TRÊS DOS SEIS VENEZUELANOS CONTRATADOS PELO ROLO COMPRESSOR PARA O BAREZÃO 2018 DEVEM ESTREAR NO JOGO QUE ACONTECE ÀS 15H DESTE SÁBADO (17). LANTERNA DO GRUPO A, NAÇA AINDA SONHA COM CLASSIFICAÇÃO PARA A PRÓXIMA FASE</t>
        </is>
      </c>
      <c r="J2286">
        <f>HYPERLINK("https://www.acritica.com/esportes/ja-classificado-fast-estreia-venezuelanos-em-duelo-contra-o-agonizante-nacional-1.103344", "URL")</f>
        <v/>
      </c>
      <c r="K2286">
        <f>HYPERLINK("https://raw.githubusercontent.com/marcosmapl/dataset_imigrantes/main/noticias_filtered/a_critica/venezuelanos/2018/01_fev/html/1.103344_1346.html", "HTML")</f>
        <v/>
      </c>
      <c r="L2286">
        <f>HYPERLINK("https://raw.githubusercontent.com/marcosmapl/dataset_imigrantes/main/noticias_filtered/a_critica/venezuelanos/2018/01_fev/txt/1.103344_1346.txt", "TXT")</f>
        <v/>
      </c>
    </row>
    <row r="2287">
      <c r="A2287" s="1" t="n">
        <v>2285</v>
      </c>
      <c r="B2287" t="n">
        <v>2018</v>
      </c>
      <c r="C2287" s="2" t="n">
        <v>43147.88322780093</v>
      </c>
      <c r="D2287" t="inlineStr">
        <is>
          <t>G1</t>
        </is>
      </c>
      <c r="E2287" t="inlineStr">
        <is>
          <t>VENEZUELANOS</t>
        </is>
      </c>
      <c r="F2287" t="inlineStr">
        <is>
          <t>RORAIMA</t>
        </is>
      </c>
      <c r="G2287" t="inlineStr">
        <is>
          <t>JACKSON FÉLIX, G1 RR</t>
        </is>
      </c>
      <c r="H2287" t="inlineStr">
        <is>
          <t>PROFISSIONAIS DA SAÚDE DE RORAIMA RECEBEM CAPACITAÇÃO APÓS CASO DE SARAMPO EM BEBÊ VENEZUELANA</t>
        </is>
      </c>
      <c r="I2287" t="inlineStr">
        <is>
          <t>CAPACITAÇÃO FAZ PARTE DO PLANO DE ENFRENTAMENTO DO SARAMPO NA CAPITAL. SAÚDE MUNICIPAL INVESTIGA DOIS NOVOS CASOS DA DOENÇA EM CRIANÇAS VENEZUELANAS.</t>
        </is>
      </c>
      <c r="J2287">
        <f>HYPERLINK("https://g1.globo.com/rr/roraima/noticia/profissionais-da-saude-de-roraima-recebem-capacitacao-apos-caso-de-sarampo-em-bebe-venezuelana.ghtml", "URL")</f>
        <v/>
      </c>
      <c r="K2287">
        <f>HYPERLINK("https://raw.githubusercontent.com/marcosmapl/dataset_imigrantes/main/noticias_filtered/g1/venezuelanos/2018/01_fev/html/g1_928f0f6a-2307-11ed-b24f-6dbe51e79fca_2327.html", "HTML")</f>
        <v/>
      </c>
      <c r="L2287">
        <f>HYPERLINK("https://raw.githubusercontent.com/marcosmapl/dataset_imigrantes/main/noticias_filtered/g1/venezuelanos/2018/01_fev/txt/g1_928f0f6a-2307-11ed-b24f-6dbe51e79fca_2327.txt", "TXT")</f>
        <v/>
      </c>
    </row>
    <row r="2288">
      <c r="A2288" s="1" t="n">
        <v>2286</v>
      </c>
      <c r="B2288" t="n">
        <v>2018</v>
      </c>
      <c r="C2288" s="2" t="n">
        <v>43147.34978520833</v>
      </c>
      <c r="D2288" t="inlineStr">
        <is>
          <t>G1</t>
        </is>
      </c>
      <c r="E2288" t="inlineStr">
        <is>
          <t>HAITIANOS</t>
        </is>
      </c>
      <c r="F2288" t="inlineStr">
        <is>
          <t>MUNDO</t>
        </is>
      </c>
      <c r="G2288" t="inlineStr">
        <is>
          <t>FRANCE PRESSE</t>
        </is>
      </c>
      <c r="H2288" t="inlineStr">
        <is>
          <t>OXFAM REVELA PLANO DE AÇÃO APÓS ESCÂNDALO SEXUAL</t>
        </is>
      </c>
      <c r="I2288" t="inlineStr">
        <is>
          <t>IMPRENSA BRITÂNICA AFIRMA QUE FUNCIONÁRIOS DA ONG CONTRATARAM PROSTITUTAS NO HAITI APÓS O TERREMOTO DE 2010. OXFAM VAI AMPLIAR INVESTIMENTO NA FORMAÇÃO SOBRE QUESTÕES DE GÊNERO.</t>
        </is>
      </c>
      <c r="J2288">
        <f>HYPERLINK("https://g1.globo.com/mundo/noticia/oxfam-revela-plano-de-acao-apos-escandalo-sexual.ghtml", "URL")</f>
        <v/>
      </c>
      <c r="K2288">
        <f>HYPERLINK("https://raw.githubusercontent.com/marcosmapl/dataset_imigrantes/main/noticias_filtered/g1/haitianos/2018/01_fev/html/g1_762d773c-2323-11ed-b24f-6dbe51e79fca_3809.html", "HTML")</f>
        <v/>
      </c>
      <c r="L2288">
        <f>HYPERLINK("https://raw.githubusercontent.com/marcosmapl/dataset_imigrantes/main/noticias_filtered/g1/haitianos/2018/01_fev/txt/g1_762d773c-2323-11ed-b24f-6dbe51e79fca_3809.txt", "TXT")</f>
        <v/>
      </c>
    </row>
    <row r="2289">
      <c r="A2289" s="1" t="n">
        <v>2287</v>
      </c>
      <c r="B2289" t="n">
        <v>2018</v>
      </c>
      <c r="C2289" s="2" t="n">
        <v>43146.92501857639</v>
      </c>
      <c r="D2289" t="inlineStr">
        <is>
          <t>G1</t>
        </is>
      </c>
      <c r="E2289" t="inlineStr">
        <is>
          <t>VENEZUELANOS</t>
        </is>
      </c>
      <c r="F2289" t="inlineStr">
        <is>
          <t>RORAIMA</t>
        </is>
      </c>
      <c r="G2289" t="inlineStr">
        <is>
          <t>JACKSON FÉLIX, G1 RR</t>
        </is>
      </c>
      <c r="H2289" t="inlineStr">
        <is>
          <t>SAÚDE DE BOA VISTA INVESTIGA DOIS NOVOS CASOS SUSPEITOS DE SARAMPO EM CRIANÇAS VENEZUELANAS</t>
        </is>
      </c>
      <c r="I2289" t="inlineStr">
        <is>
          <t>HÁ DOIS DIAS PREFEITURA CONFIRMOU CASO DA DOENÇA EM UMA BEBÊ DE 1 ANO. PACIENTES ESTÃO INTERNADOS EM ÁREA DE ISOLAMENTO E SAÚDE MUNICIPAL FAZ AÇÃO DE IMUNIZAÇÃO EM LOCAIS ONDE VIVEM OS VENEZUELANOS.</t>
        </is>
      </c>
      <c r="J2289">
        <f>HYPERLINK("https://g1.globo.com/rr/roraima/noticia/saude-de-boa-vista-investiga-outros-dois-casos-de-suspeita-de-sarampo-em-criancas-venezuelanas.ghtml", "URL")</f>
        <v/>
      </c>
      <c r="K2289">
        <f>HYPERLINK("https://raw.githubusercontent.com/marcosmapl/dataset_imigrantes/main/noticias_filtered/g1/venezuelanos/2018/01_fev/html/g1_317a8f8a-231e-11ed-b24f-6dbe51e79fca_3547.html", "HTML")</f>
        <v/>
      </c>
      <c r="L2289">
        <f>HYPERLINK("https://raw.githubusercontent.com/marcosmapl/dataset_imigrantes/main/noticias_filtered/g1/venezuelanos/2018/01_fev/txt/g1_317a8f8a-231e-11ed-b24f-6dbe51e79fca_3547.txt", "TXT")</f>
        <v/>
      </c>
    </row>
    <row r="2290">
      <c r="A2290" s="1" t="n">
        <v>2288</v>
      </c>
      <c r="B2290" t="n">
        <v>2018</v>
      </c>
      <c r="C2290" s="2" t="n">
        <v>43146.49410879629</v>
      </c>
      <c r="D2290" t="inlineStr">
        <is>
          <t>A CRITICA</t>
        </is>
      </c>
      <c r="E2290" t="inlineStr">
        <is>
          <t>VENEZUELANOS</t>
        </is>
      </c>
      <c r="F2290" t="inlineStr"/>
      <c r="G2290" t="inlineStr">
        <is>
          <t>MARCELO BRANDÃO (AGÊNCIA BRASIL)</t>
        </is>
      </c>
      <c r="H2290" t="inlineStr">
        <is>
          <t>REDISTRIBUIÇÃO DE VENEZUELANOS PARA OUTROS ESTADOS DO PAÍS COMEÇA EM MARÇO</t>
        </is>
      </c>
      <c r="I2290" t="inlineStr">
        <is>
          <t>IMIGRANTES ESTÃO INSTALADOS EM RORAIMA VINDOS REFUGIADOS DO PAÍS VIZINHO E FUGINDO DA CRISE NA TERRA NATAL</t>
        </is>
      </c>
      <c r="J2290">
        <f>HYPERLINK("https://www.acritica.com/redistribuic-o-de-venezuelanos-para-outros-estados-do-pais-comeca-em-marco-1.103416", "URL")</f>
        <v/>
      </c>
      <c r="K2290">
        <f>HYPERLINK("https://raw.githubusercontent.com/marcosmapl/dataset_imigrantes/main/noticias_filtered/a_critica/venezuelanos/2018/01_fev/html/1.103416_232.html", "HTML")</f>
        <v/>
      </c>
      <c r="L2290">
        <f>HYPERLINK("https://raw.githubusercontent.com/marcosmapl/dataset_imigrantes/main/noticias_filtered/a_critica/venezuelanos/2018/01_fev/txt/1.103416_232.txt", "TXT")</f>
        <v/>
      </c>
    </row>
    <row r="2291">
      <c r="A2291" s="1" t="n">
        <v>2289</v>
      </c>
      <c r="B2291" t="n">
        <v>2018</v>
      </c>
      <c r="C2291" s="2" t="n">
        <v>43146.49236111111</v>
      </c>
      <c r="D2291" t="inlineStr">
        <is>
          <t>PORTAL AMAZONIA</t>
        </is>
      </c>
      <c r="E2291" t="inlineStr">
        <is>
          <t>VENEZUELANOS</t>
        </is>
      </c>
      <c r="F2291" t="inlineStr">
        <is>
          <t>CIDADES</t>
        </is>
      </c>
      <c r="G2291" t="inlineStr">
        <is>
          <t>REDAÇÃO</t>
        </is>
      </c>
      <c r="H2291" t="inlineStr">
        <is>
          <t>CRIANÇA VENEZUELANA É HOSPITALIZADA COM SARAMPO EM RORAIMA</t>
        </is>
      </c>
      <c r="I2291" t="inlineStr">
        <is>
          <t>UMA MENINA VENEZUELANA DE UM ANO FOI HOSPITALIZADA ESTA SEMANA COM SARAMPO EM BOA VISTA, RORAIMA. ESTE É O PRIMEIRO CASO DA DOENÇA NO BRASIL DESDE 2015.A CRIANÇA ESTÁ INTERNADA NO HOSPITAL DA CRIANÇA SANTO ANTONIO DESDE DOMINGO (11), QUANDO FOI DIAGN</t>
        </is>
      </c>
      <c r="J2291">
        <f>HYPERLINK("https://portalamazonia.com/noticias/cidades/crianca-venezuelana-e-hospitalizada-com-sarampo-em-roraima", "URL")</f>
        <v/>
      </c>
      <c r="K2291">
        <f>HYPERLINK("https://raw.githubusercontent.com/marcosmapl/dataset_imigrantes/main/noticias_filtered/portal_amazonia/venezuelanos/2018/01_fev/html/12109.12109_1614.html", "HTML")</f>
        <v/>
      </c>
      <c r="L2291">
        <f>HYPERLINK("https://raw.githubusercontent.com/marcosmapl/dataset_imigrantes/main/noticias_filtered/portal_amazonia/venezuelanos/2018/01_fev/txt/12109.12109_1614.txt", "TXT")</f>
        <v/>
      </c>
    </row>
    <row r="2292">
      <c r="A2292" s="1" t="n">
        <v>2290</v>
      </c>
      <c r="B2292" t="n">
        <v>2018</v>
      </c>
      <c r="C2292" s="2" t="n">
        <v>43145.74741898148</v>
      </c>
      <c r="D2292" t="inlineStr">
        <is>
          <t>A CRITICA</t>
        </is>
      </c>
      <c r="E2292" t="inlineStr">
        <is>
          <t>VENEZUELANOS</t>
        </is>
      </c>
      <c r="F2292" t="inlineStr"/>
      <c r="G2292" t="inlineStr">
        <is>
          <t>YARA AQUINO - AGÊNCIA BRASIL</t>
        </is>
      </c>
      <c r="H2292" t="inlineStr">
        <is>
          <t>GOVERNO VAI EDITAR MEDIDA PROVISÓRIA PARA INSTITUIR EMERGÊNCIA SOCIAL EM RORAIMA</t>
        </is>
      </c>
      <c r="I2292" t="inlineStr">
        <is>
          <t>A MEDIDA SERÁ PELO ALTO FLUXO DE MIGRAÇÃO DE VENEZUELANOS. AS FORÇAS ARMADAS PASSARÃO A COORDENAR TODA A AÇÃO E O EFETIVO MILITAR SERÁ DUPLICADO PASSANDO DE 100 PARA 200 HOMENS</t>
        </is>
      </c>
      <c r="J2292">
        <f>HYPERLINK("https://www.acritica.com/governo-vai-editar-medida-provisoria-para-instituir-emergencia-social-em-roraima-1.103591", "URL")</f>
        <v/>
      </c>
      <c r="K2292">
        <f>HYPERLINK("https://raw.githubusercontent.com/marcosmapl/dataset_imigrantes/main/noticias_filtered/a_critica/venezuelanos/2018/01_fev/html/1.103591_191.html", "HTML")</f>
        <v/>
      </c>
      <c r="L2292">
        <f>HYPERLINK("https://raw.githubusercontent.com/marcosmapl/dataset_imigrantes/main/noticias_filtered/a_critica/venezuelanos/2018/01_fev/txt/1.103591_191.txt", "TXT")</f>
        <v/>
      </c>
    </row>
    <row r="2293">
      <c r="A2293" s="1" t="n">
        <v>2291</v>
      </c>
      <c r="B2293" t="n">
        <v>2018</v>
      </c>
      <c r="C2293" s="2" t="n">
        <v>43145.73747685185</v>
      </c>
      <c r="D2293" t="inlineStr">
        <is>
          <t>A CRITICA</t>
        </is>
      </c>
      <c r="E2293" t="inlineStr">
        <is>
          <t>VENEZUELANOS</t>
        </is>
      </c>
      <c r="F2293" t="inlineStr"/>
      <c r="G2293" t="inlineStr">
        <is>
          <t>YARA AQUINO (AGÊNCIA BRASIL)</t>
        </is>
      </c>
      <c r="H2293" t="inlineStr">
        <is>
          <t>GOVERNO QUER INSTITUIR EMERGÊNCIA SOCIAL EM RORAIMA DEVIDO IMIGRANTES VENEZUELANOS</t>
        </is>
      </c>
      <c r="I2293" t="inlineStr">
        <is>
          <t>FORÇAS ARMADAS PASSARÃO A COORDENAR AÇÕES HUMANITÁRIAS, QUE SERÃO DUPLICADAS DE 100 PARA 200 HOMENS</t>
        </is>
      </c>
      <c r="J2293">
        <f>HYPERLINK("https://www.acritica.com/governo-quer-instituir-emergencia-social-em-roraima-devido-imigrantes-venezuelanos-1.103593", "URL")</f>
        <v/>
      </c>
      <c r="K2293">
        <f>HYPERLINK("https://raw.githubusercontent.com/marcosmapl/dataset_imigrantes/main/noticias_filtered/a_critica/venezuelanos/2018/01_fev/html/1.103593_747.html", "HTML")</f>
        <v/>
      </c>
      <c r="L2293">
        <f>HYPERLINK("https://raw.githubusercontent.com/marcosmapl/dataset_imigrantes/main/noticias_filtered/a_critica/venezuelanos/2018/01_fev/txt/1.103593_747.txt", "TXT")</f>
        <v/>
      </c>
    </row>
    <row r="2294">
      <c r="A2294" s="1" t="n">
        <v>2292</v>
      </c>
      <c r="B2294" t="n">
        <v>2018</v>
      </c>
      <c r="C2294" s="2" t="n">
        <v>43145.61666666667</v>
      </c>
      <c r="D2294" t="inlineStr">
        <is>
          <t>PORTAL AMAZONIA</t>
        </is>
      </c>
      <c r="E2294" t="inlineStr">
        <is>
          <t>VENEZUELANOS</t>
        </is>
      </c>
      <c r="F2294" t="inlineStr">
        <is>
          <t>CIDADES</t>
        </is>
      </c>
      <c r="G2294" t="inlineStr">
        <is>
          <t>REDAÇÃO</t>
        </is>
      </c>
      <c r="H2294" t="inlineStr">
        <is>
          <t>REFORÇO NA FRONTEIRA: FORÇA NACIONAL DE SEGURANÇA CHEGA A RORAIMA</t>
        </is>
      </c>
      <c r="I2294" t="inlineStr">
        <is>
          <t>AGENTES DA FORÇA NACIONAL DE SEGURANÇA DESEMBARCARAM EM RORAIMA NA MADRUGADA DESTA QUARTA-FEIRA (14), APÓS DETERMINAÇÃO DO PRESIDENTE MICHEL TEMER (PMDB) DE REFORÇAR O POLICIAMENTO NA CIDADE DE PACARAIMA, NA FRONTEIRA COM A VENEZUELA.A MEDIDA FOI ANU</t>
        </is>
      </c>
      <c r="J2294">
        <f>HYPERLINK("https://portalamazonia.com/noticias/cidades/reforco-na-fronteira-forca-nacional-de-seguranca-chega-a-roraima", "URL")</f>
        <v/>
      </c>
      <c r="K2294">
        <f>HYPERLINK("https://raw.githubusercontent.com/marcosmapl/dataset_imigrantes/main/noticias_filtered/portal_amazonia/venezuelanos/2018/01_fev/html/12097.12097_1513.html", "HTML")</f>
        <v/>
      </c>
      <c r="L2294">
        <f>HYPERLINK("https://raw.githubusercontent.com/marcosmapl/dataset_imigrantes/main/noticias_filtered/portal_amazonia/venezuelanos/2018/01_fev/txt/12097.12097_1513.txt", "TXT")</f>
        <v/>
      </c>
    </row>
    <row r="2295">
      <c r="A2295" s="1" t="n">
        <v>2293</v>
      </c>
      <c r="B2295" t="n">
        <v>2018</v>
      </c>
      <c r="C2295" s="2" t="n">
        <v>43145.53624341435</v>
      </c>
      <c r="D2295" t="inlineStr">
        <is>
          <t>G1</t>
        </is>
      </c>
      <c r="E2295" t="inlineStr">
        <is>
          <t>HAITIANOS</t>
        </is>
      </c>
      <c r="F2295" t="inlineStr">
        <is>
          <t>MATO GROSSO</t>
        </is>
      </c>
      <c r="G2295" t="inlineStr">
        <is>
          <t>BRUNA BARBOSA, G1 MT</t>
        </is>
      </c>
      <c r="H2295" t="inlineStr">
        <is>
          <t>UNIVERSITÁRIO DÁ AULAS GRATUITAS DE PORTUGUÊS PARA IMIGRANTES HAITIANOS E SENEGALESES EM CUIABÁ</t>
        </is>
      </c>
      <c r="I2295" t="inlineStr">
        <is>
          <t>RAFAEL LIRA PARTICIPOU DE TRABALHOS VOLUNTÁRIOS NO HAITI EM 2013, QUANDO APRENDEU O CRIOULO, IDIOMA FALADO NO PAÍS. PARA ELE, DIFICULDADES COM O IDIOMA É PRINCIPAL BARREIRA DOS IMIGRANTES.</t>
        </is>
      </c>
      <c r="J2295">
        <f>HYPERLINK("https://g1.globo.com/mt/mato-grosso/noticia/universitario-da-aulas-gratuitas-de-portugues-para-imigrantes-haitianos-e-senegaleses-em-cuiaba.ghtml", "URL")</f>
        <v/>
      </c>
      <c r="K2295">
        <f>HYPERLINK("https://raw.githubusercontent.com/marcosmapl/dataset_imigrantes/main/noticias_filtered/g1/haitianos/2018/01_fev/html/g1_83e95fb6-22f7-11ed-b24f-6dbe51e79fca_2084.html", "HTML")</f>
        <v/>
      </c>
      <c r="L2295">
        <f>HYPERLINK("https://raw.githubusercontent.com/marcosmapl/dataset_imigrantes/main/noticias_filtered/g1/haitianos/2018/01_fev/txt/g1_83e95fb6-22f7-11ed-b24f-6dbe51e79fca_2084.txt", "TXT")</f>
        <v/>
      </c>
    </row>
    <row r="2296">
      <c r="A2296" s="1" t="n">
        <v>2294</v>
      </c>
      <c r="B2296" t="n">
        <v>2018</v>
      </c>
      <c r="C2296" s="2" t="n">
        <v>43144.82747871528</v>
      </c>
      <c r="D2296" t="inlineStr">
        <is>
          <t>G1</t>
        </is>
      </c>
      <c r="E2296" t="inlineStr">
        <is>
          <t>VENEZUELANOS</t>
        </is>
      </c>
      <c r="F2296" t="inlineStr">
        <is>
          <t>RORAIMA</t>
        </is>
      </c>
      <c r="G2296" t="inlineStr">
        <is>
          <t>ALAN CHAVES, G1 RR</t>
        </is>
      </c>
      <c r="H2296" t="inlineStr">
        <is>
          <t>BEBÊ VENEZUELANA É DIAGNOSTICADA COM SARAMPO E ESTÁ INTERNADA NO HOSPITAL DA CRIANÇA EM BOA VISTA</t>
        </is>
      </c>
      <c r="I2296" t="inlineStr">
        <is>
          <t>PREFEITURA DA CAPITAL DÁ INÍCIO A 'BLOQUEIO VACINAL' A IMIGRANTES. ÚLTIMO CASO REGISTRADO DA DOENÇA EM RORAIMA OCORREU EM 2015.</t>
        </is>
      </c>
      <c r="J2296">
        <f>HYPERLINK("https://g1.globo.com/rr/roraima/noticia/bebe-venezuelana-e-diagnosticada-com-sarampo-e-esta-internada-no-hospital-da-crianca-em-boa-vista.ghtml", "URL")</f>
        <v/>
      </c>
      <c r="K2296">
        <f>HYPERLINK("https://raw.githubusercontent.com/marcosmapl/dataset_imigrantes/main/noticias_filtered/g1/venezuelanos/2018/01_fev/html/g1_fec75dc0-2313-11ed-b24f-6dbe51e79fca_3038.html", "HTML")</f>
        <v/>
      </c>
      <c r="L2296">
        <f>HYPERLINK("https://raw.githubusercontent.com/marcosmapl/dataset_imigrantes/main/noticias_filtered/g1/venezuelanos/2018/01_fev/txt/g1_fec75dc0-2313-11ed-b24f-6dbe51e79fca_3038.txt", "TXT")</f>
        <v/>
      </c>
    </row>
    <row r="2297">
      <c r="A2297" s="1" t="n">
        <v>2295</v>
      </c>
      <c r="B2297" t="n">
        <v>2018</v>
      </c>
      <c r="C2297" s="2" t="n">
        <v>43144.57690972222</v>
      </c>
      <c r="D2297" t="inlineStr">
        <is>
          <t>A CRITICA</t>
        </is>
      </c>
      <c r="E2297" t="inlineStr">
        <is>
          <t>VENEZUELANOS</t>
        </is>
      </c>
      <c r="F2297" t="inlineStr"/>
      <c r="G2297" t="inlineStr">
        <is>
          <t>PAULO VICTOR CHAGAS (AGÊNCIA BRASIL)</t>
        </is>
      </c>
      <c r="H2297" t="inlineStr">
        <is>
          <t>GOVERNO VAI EMPREGAR MÉDICOS VENEZUELANOS PARA QUE ATENDAM COMPATRIOTAS NO BRASIL</t>
        </is>
      </c>
      <c r="I2297" t="inlineStr">
        <is>
          <t>EFETIVO DOS PELOTÕES DE FRONTEIRA E OS POSTOS DE CONTROLE DEVE DOBRAR, SEGUNDO O GOVERNO FEDERAL. EM BOA VISTA (RR) JÁ EXISTEM MAIS DE 40 MIL VENEZUELANOS, NÚMERO QUE REPRESENTA MAIS DE 10% DA POPULAÇÃO LOCAL</t>
        </is>
      </c>
      <c r="J2297">
        <f>HYPERLINK("https://www.acritica.com/governo-vai-empregar-medicos-venezuelanos-para-que-atendam-compatriotas-no-brasil-1.96786", "URL")</f>
        <v/>
      </c>
      <c r="K2297">
        <f>HYPERLINK("https://raw.githubusercontent.com/marcosmapl/dataset_imigrantes/main/noticias_filtered/a_critica/venezuelanos/2018/01_fev/html/1.96786_491.html", "HTML")</f>
        <v/>
      </c>
      <c r="L2297">
        <f>HYPERLINK("https://raw.githubusercontent.com/marcosmapl/dataset_imigrantes/main/noticias_filtered/a_critica/venezuelanos/2018/01_fev/txt/1.96786_491.txt", "TXT")</f>
        <v/>
      </c>
    </row>
    <row r="2298">
      <c r="A2298" s="1" t="n">
        <v>2296</v>
      </c>
      <c r="B2298" t="n">
        <v>2018</v>
      </c>
      <c r="C2298" s="2" t="n">
        <v>43143.71319444444</v>
      </c>
      <c r="D2298" t="inlineStr">
        <is>
          <t>PORTAL AMAZONIA</t>
        </is>
      </c>
      <c r="E2298" t="inlineStr">
        <is>
          <t>VENEZUELANOS</t>
        </is>
      </c>
      <c r="F2298" t="inlineStr">
        <is>
          <t>CIDADES</t>
        </is>
      </c>
      <c r="G2298" t="inlineStr">
        <is>
          <t>REDAÇÃO</t>
        </is>
      </c>
      <c r="H2298" t="inlineStr">
        <is>
          <t>FORÇA-TAREFA IRÁ ACOMPANHAR FLUXO MIGRATÓRIO DE VENEZUELANOS PARA RR</t>
        </is>
      </c>
      <c r="I2298" t="inlineStr">
        <is>
          <t>O PRESIDENTE MICHEL TEMER (PMDB) ANUNCIOU NESTA SEGUNDA-FEIRA (12), DURANTE REUNIÃO REALIZADA NO PALÁCIO SENADOR HÉLIO CAMPOS, SEDE DO GOVERNO ESTADUAL, EM BOA VISTA, A CRIAÇÃO DE FORÇA-TAREFA E COORDENAÇÃO NACIONAL PARA ACOMPANHAR A IMIGRAÇÃO EM MAS</t>
        </is>
      </c>
      <c r="J2298">
        <f>HYPERLINK("https://portalamazonia.com/noticias/cidades/forca-tarefa-ira-acompanhar-fluxo-migratorio-de-venezuelanos-para-rr", "URL")</f>
        <v/>
      </c>
      <c r="K2298">
        <f>HYPERLINK("https://raw.githubusercontent.com/marcosmapl/dataset_imigrantes/main/noticias_filtered/portal_amazonia/venezuelanos/2018/01_fev/html/12058.12058_1551.html", "HTML")</f>
        <v/>
      </c>
      <c r="L2298">
        <f>HYPERLINK("https://raw.githubusercontent.com/marcosmapl/dataset_imigrantes/main/noticias_filtered/portal_amazonia/venezuelanos/2018/01_fev/txt/12058.12058_1551.txt", "TXT")</f>
        <v/>
      </c>
    </row>
    <row r="2299">
      <c r="A2299" s="1" t="n">
        <v>2297</v>
      </c>
      <c r="B2299" t="n">
        <v>2018</v>
      </c>
      <c r="C2299" s="2" t="n">
        <v>43143.54583333333</v>
      </c>
      <c r="D2299" t="inlineStr">
        <is>
          <t>PORTAL AMAZONIA</t>
        </is>
      </c>
      <c r="E2299" t="inlineStr">
        <is>
          <t>VENEZUELANOS</t>
        </is>
      </c>
      <c r="F2299" t="inlineStr">
        <is>
          <t>CIDADES</t>
        </is>
      </c>
      <c r="G2299" t="inlineStr">
        <is>
          <t>REDAÇÃO</t>
        </is>
      </c>
      <c r="H2299" t="inlineStr">
        <is>
          <t>PRESIDENTE TEMER DISCUTE IMIGRAÇÃO VENEZUELANA EM BOA VISTA</t>
        </is>
      </c>
      <c r="I2299" t="inlineStr">
        <is>
          <t>O PRESIDENTE MICHEL TEMER CHEGOU A BOA VISTA, ONDE TERÁ REUNIÃO NESTA SEGUNDA-FEIRA (12) COM A GOVERNADORA DE RORAIMA, SUELY CAMPOS, E COM A PREFEITA DA CAPITAL DE RORAIMA, TERESA SURITA. NA REUNIÃO, TEMER DEVE TRATAR, ENTRE OUTROS ASSUNTOS, DA IMIGR</t>
        </is>
      </c>
      <c r="J2299">
        <f>HYPERLINK("https://portalamazonia.com/noticias/cidades/presidente-temer-discute-imigracao-venezuelana-em-boa-vista", "URL")</f>
        <v/>
      </c>
      <c r="K2299">
        <f>HYPERLINK("https://raw.githubusercontent.com/marcosmapl/dataset_imigrantes/main/noticias_filtered/portal_amazonia/venezuelanos/2018/01_fev/html/12046.12046_1457.html", "HTML")</f>
        <v/>
      </c>
      <c r="L2299">
        <f>HYPERLINK("https://raw.githubusercontent.com/marcosmapl/dataset_imigrantes/main/noticias_filtered/portal_amazonia/venezuelanos/2018/01_fev/txt/12046.12046_1457.txt", "TXT")</f>
        <v/>
      </c>
    </row>
    <row r="2300">
      <c r="A2300" s="1" t="n">
        <v>2298</v>
      </c>
      <c r="B2300" t="n">
        <v>2018</v>
      </c>
      <c r="C2300" s="2" t="n">
        <v>43140.70888359954</v>
      </c>
      <c r="D2300" t="inlineStr">
        <is>
          <t>G1</t>
        </is>
      </c>
      <c r="E2300" t="inlineStr">
        <is>
          <t>VENEZUELANOS</t>
        </is>
      </c>
      <c r="F2300" t="inlineStr">
        <is>
          <t>RORAIMA</t>
        </is>
      </c>
      <c r="G2300" t="inlineStr">
        <is>
          <t>ALAN CHAVES, G1 RR</t>
        </is>
      </c>
      <c r="H2300" t="inlineStr">
        <is>
          <t>PAI DE CRIANÇA VENEZUELANA TEVE 36% DO CORPO QUEIMADO E SEGUE INTERNADO APÓS INCÊNDIO EM CASA DE IMIGRANTES EM RR</t>
        </is>
      </c>
      <c r="I2300" t="inlineStr">
        <is>
          <t>PAIS E MENINA DE 3 ANOS FICARAM QUEIMADOS APÓS A CASA ONDE ELES VIVEM PEGAR FOGO. CRIANÇA TEVE QUEIMADURAS DE 2º GRAU. POLÍCIA INVESTIGA SE INCÊNDIO FOI CRIMINOSO.</t>
        </is>
      </c>
      <c r="J2300">
        <f>HYPERLINK("https://g1.globo.com/rr/roraima/noticia/pai-de-crianca-venezuelana-teve-36-do-corpo-queimado-e-segue-internado-apos-incendio-em-casa-de-imigrantes-em-rr.ghtml", "URL")</f>
        <v/>
      </c>
      <c r="K2300">
        <f>HYPERLINK("https://raw.githubusercontent.com/marcosmapl/dataset_imigrantes/main/noticias_filtered/g1/venezuelanos/2018/01_fev/html/g1_923a051a-230c-11ed-b24f-6dbe51e79fca_2633.html", "HTML")</f>
        <v/>
      </c>
      <c r="L2300">
        <f>HYPERLINK("https://raw.githubusercontent.com/marcosmapl/dataset_imigrantes/main/noticias_filtered/g1/venezuelanos/2018/01_fev/txt/g1_923a051a-230c-11ed-b24f-6dbe51e79fca_2633.txt", "TXT")</f>
        <v/>
      </c>
    </row>
    <row r="2301">
      <c r="A2301" s="1" t="n">
        <v>2299</v>
      </c>
      <c r="B2301" t="n">
        <v>2018</v>
      </c>
      <c r="C2301" s="2" t="n">
        <v>43139.84583333333</v>
      </c>
      <c r="D2301" t="inlineStr">
        <is>
          <t>PORTAL AMAZONIA</t>
        </is>
      </c>
      <c r="E2301" t="inlineStr">
        <is>
          <t>VENEZUELANOS</t>
        </is>
      </c>
      <c r="F2301" t="inlineStr">
        <is>
          <t>CIDADES</t>
        </is>
      </c>
      <c r="G2301" t="inlineStr">
        <is>
          <t>REDAÇÃO</t>
        </is>
      </c>
      <c r="H2301" t="inlineStr">
        <is>
          <t>&amp;QUOT;ATENDIMENTO A VENEZUELANOS É QUESTÃO NACIONAL&amp;QUOT;, DIZ JUNGMANN</t>
        </is>
      </c>
      <c r="I2301" t="inlineStr">
        <is>
          <t>O GOVERNO FEDERAL PROMETE AMPLIAR A AJUDA AO ESTADO DE RORAIMA EM BUSCA DE UMA SOLUÇÃO PARA OS PROBLEMAS DECORRENTES DA PRESENÇA DE UM GRANDE NÚMERO DE IMIGRANTES VENEZUELANOS NO ESTADO, PRINCIPALMENTE NA CAPITAL, BOA VISTA. A PREFEITURA ESTIMA QUE C</t>
        </is>
      </c>
      <c r="J2301">
        <f>HYPERLINK("https://portalamazonia.com/noticias/cidades/atendimento-a-venezuelanos-e-questao-nacional-diz-jungmann", "URL")</f>
        <v/>
      </c>
      <c r="K2301">
        <f>HYPERLINK("https://raw.githubusercontent.com/marcosmapl/dataset_imigrantes/main/noticias_filtered/portal_amazonia/venezuelanos/2018/01_fev/html/12010.12010_1519.html", "HTML")</f>
        <v/>
      </c>
      <c r="L2301">
        <f>HYPERLINK("https://raw.githubusercontent.com/marcosmapl/dataset_imigrantes/main/noticias_filtered/portal_amazonia/venezuelanos/2018/01_fev/txt/12010.12010_1519.txt", "TXT")</f>
        <v/>
      </c>
    </row>
    <row r="2302">
      <c r="A2302" s="1" t="n">
        <v>2300</v>
      </c>
      <c r="B2302" t="n">
        <v>2018</v>
      </c>
      <c r="C2302" s="2" t="n">
        <v>43137.53333333333</v>
      </c>
      <c r="D2302" t="inlineStr">
        <is>
          <t>PORTAL AMAZONIA</t>
        </is>
      </c>
      <c r="E2302" t="inlineStr">
        <is>
          <t>VENEZUELANOS</t>
        </is>
      </c>
      <c r="F2302" t="inlineStr">
        <is>
          <t>CIDADES</t>
        </is>
      </c>
      <c r="G2302" t="inlineStr">
        <is>
          <t>REDAÇÃO</t>
        </is>
      </c>
      <c r="H2302" t="inlineStr">
        <is>
          <t>MINISTROS VÃO A RORAIMA AVALIAR SITUAÇÃO DE IMIGRANTES VENEZUELANOS</t>
        </is>
      </c>
      <c r="I2302" t="inlineStr">
        <is>
          <t>O MINISTRO DO DESENVOLVIMENTO SOCIAL, OSMAR TERRA, DISSE HOJE (6) QUE UMA COMITIVA DE MINISTROS VAI A RORAIMA AVALIAR A SITUAÇÃO DOS IMIGRANTES VENEZUELANOS QUE TÊM CRUZADO A FRONTEIRA E SE ESTABELECIDO NO BRASIL DEVIDO À CRISE POLÍTICO-ECONÔMICA NO</t>
        </is>
      </c>
      <c r="J2302">
        <f>HYPERLINK("https://portalamazonia.com/noticias/cidades/ministros-vao-a-roraima-avaliar-situacao-de-imigrantes-venezuelanos", "URL")</f>
        <v/>
      </c>
      <c r="K2302">
        <f>HYPERLINK("https://raw.githubusercontent.com/marcosmapl/dataset_imigrantes/main/noticias_filtered/portal_amazonia/venezuelanos/2018/01_fev/html/11945.11945_1555.html", "HTML")</f>
        <v/>
      </c>
      <c r="L2302">
        <f>HYPERLINK("https://raw.githubusercontent.com/marcosmapl/dataset_imigrantes/main/noticias_filtered/portal_amazonia/venezuelanos/2018/01_fev/txt/11945.11945_1555.txt", "TXT")</f>
        <v/>
      </c>
    </row>
    <row r="2303">
      <c r="A2303" s="1" t="n">
        <v>2301</v>
      </c>
      <c r="B2303" t="n">
        <v>2018</v>
      </c>
      <c r="C2303" s="2" t="n">
        <v>43137.37077935186</v>
      </c>
      <c r="D2303" t="inlineStr">
        <is>
          <t>G1</t>
        </is>
      </c>
      <c r="E2303" t="inlineStr">
        <is>
          <t>HAITIANOS</t>
        </is>
      </c>
      <c r="F2303" t="inlineStr">
        <is>
          <t>GOIÁS</t>
        </is>
      </c>
      <c r="G2303" t="inlineStr">
        <is>
          <t>MURILLO VELASCO, G1 GO</t>
        </is>
      </c>
      <c r="H2303" t="inlineStr">
        <is>
          <t>HAITIANO É MORTO A FACADAS ENQUANTO TRABALHAVA COMO GARI EM APARECIDA DE GOIÂNIA</t>
        </is>
      </c>
      <c r="I2303" t="inlineStr">
        <is>
          <t>YVENER JORISME, DE 45 ANOS, ORGANIZAVA SACOLAS DE LIXO PARA A COLETA QUANDO FOI ASSASSINADO; SEGUNDO A POLÍCIA CIVIL, CORPO FOI LEVADO PARA O IML DA CIDADE.</t>
        </is>
      </c>
      <c r="J2303">
        <f>HYPERLINK("https://g1.globo.com/go/goias/noticia/haitiano-e-morto-a-facadas-enquanto-trabalhava-como-gari-em-aparecida-de-goiania.ghtml", "URL")</f>
        <v/>
      </c>
      <c r="K2303">
        <f>HYPERLINK("https://raw.githubusercontent.com/marcosmapl/dataset_imigrantes/main/noticias_filtered/g1/haitianos/2018/01_fev/html/g1_6b7cc942-22f5-11ed-b24f-6dbe51e79fca_1948.html", "HTML")</f>
        <v/>
      </c>
      <c r="L2303">
        <f>HYPERLINK("https://raw.githubusercontent.com/marcosmapl/dataset_imigrantes/main/noticias_filtered/g1/haitianos/2018/01_fev/txt/g1_6b7cc942-22f5-11ed-b24f-6dbe51e79fca_1948.txt", "TXT")</f>
        <v/>
      </c>
    </row>
    <row r="2304">
      <c r="A2304" s="1" t="n">
        <v>2302</v>
      </c>
      <c r="B2304" t="n">
        <v>2018</v>
      </c>
      <c r="C2304" s="2" t="n">
        <v>43131.7375</v>
      </c>
      <c r="D2304" t="inlineStr">
        <is>
          <t>PORTAL AMAZONIA</t>
        </is>
      </c>
      <c r="E2304" t="inlineStr">
        <is>
          <t>VENEZUELANOS</t>
        </is>
      </c>
      <c r="F2304" t="inlineStr">
        <is>
          <t>CIDADES</t>
        </is>
      </c>
      <c r="G2304" t="inlineStr">
        <is>
          <t>REDAÇÃO</t>
        </is>
      </c>
      <c r="H2304" t="inlineStr">
        <is>
          <t>GOVERNO FARÁ CENSO DE MIGRANTES VENEZUELANOS NO BRASIL</t>
        </is>
      </c>
      <c r="I2304" t="inlineStr">
        <is>
          <t>O GOVERNO FEDERAL DECIDIU REALIZAR UM CENSO DOS MIGRANTES VENEZUELANOS QUE ENTRARAM NO BRASIL EM RAZÃO DA CRISE POLÍTICA E ECONÔMICA NO PAÍS VIZINHO. DIANTE DAS INFORMAÇÕES DO LEVANTAMENTO, O PALÁCIO DO PLANALTO ANALISARÁ NOVAS MEDIDAS A SEREM TOMADA</t>
        </is>
      </c>
      <c r="J2304">
        <f>HYPERLINK("https://portalamazonia.com/noticias/cidades/governo-fara-censo-de-migrantes-venezuelanos-no-brasil", "URL")</f>
        <v/>
      </c>
      <c r="K2304">
        <f>HYPERLINK("https://raw.githubusercontent.com/marcosmapl/dataset_imigrantes/main/noticias_filtered/portal_amazonia/venezuelanos/2018/00_jan/html/11839.11839_1506.html", "HTML")</f>
        <v/>
      </c>
      <c r="L2304">
        <f>HYPERLINK("https://raw.githubusercontent.com/marcosmapl/dataset_imigrantes/main/noticias_filtered/portal_amazonia/venezuelanos/2018/00_jan/txt/11839.11839_1506.txt", "TXT")</f>
        <v/>
      </c>
    </row>
    <row r="2305">
      <c r="A2305" s="1" t="n">
        <v>2303</v>
      </c>
      <c r="B2305" t="n">
        <v>2018</v>
      </c>
      <c r="C2305" s="2" t="n">
        <v>43131.67152777778</v>
      </c>
      <c r="D2305" t="inlineStr">
        <is>
          <t>A CRITICA</t>
        </is>
      </c>
      <c r="E2305" t="inlineStr">
        <is>
          <t>VENEZUELANOS</t>
        </is>
      </c>
      <c r="F2305" t="inlineStr"/>
      <c r="G2305" t="inlineStr">
        <is>
          <t>FERNANDO DINIZ -  AGÊNCIA BRASIL</t>
        </is>
      </c>
      <c r="H2305" t="inlineStr">
        <is>
          <t>GOVERNO FEDERAL DECIDE FAZER CENSO DE MIGRANTES VENEZUELANOS NO BRASIL</t>
        </is>
      </c>
      <c r="I2305" t="inlineStr">
        <is>
          <t>NO ANO PASSADO, FORAM REPASSADOS R$ 793 MIL PARA ABRIGOS DESTINADOS A MIGRANTES INDÍGENAS E NÃO INDÍGENAS. ALÉM DISSO, FORAM DESTINADAS 82 TONELADAS DE ALIMENTOS</t>
        </is>
      </c>
      <c r="J2305">
        <f>HYPERLINK("https://www.acritica.com/governo-federal-decide-fazer-censo-de-migrantes-venezuelanos-no-brasil-1.205558", "URL")</f>
        <v/>
      </c>
      <c r="K2305">
        <f>HYPERLINK("https://raw.githubusercontent.com/marcosmapl/dataset_imigrantes/main/noticias_filtered/a_critica/venezuelanos/2018/00_jan/html/1.205558_1087.html", "HTML")</f>
        <v/>
      </c>
      <c r="L2305">
        <f>HYPERLINK("https://raw.githubusercontent.com/marcosmapl/dataset_imigrantes/main/noticias_filtered/a_critica/venezuelanos/2018/00_jan/txt/1.205558_1087.txt", "TXT")</f>
        <v/>
      </c>
    </row>
    <row r="2306">
      <c r="A2306" s="1" t="n">
        <v>2304</v>
      </c>
      <c r="B2306" t="n">
        <v>2018</v>
      </c>
      <c r="C2306" s="2" t="n">
        <v>43126.52986111111</v>
      </c>
      <c r="D2306" t="inlineStr">
        <is>
          <t>PORTAL AMAZONIA</t>
        </is>
      </c>
      <c r="E2306" t="inlineStr">
        <is>
          <t>HAITIANOS</t>
        </is>
      </c>
      <c r="F2306" t="inlineStr">
        <is>
          <t>CIDADES</t>
        </is>
      </c>
      <c r="G2306" t="inlineStr">
        <is>
          <t>REDAÇÃO</t>
        </is>
      </c>
      <c r="H2306" t="inlineStr">
        <is>
          <t>MP INVESTIGA SUPERFATURAMENTO DE GASTOS COM IMIGRANTES NO ACRE</t>
        </is>
      </c>
      <c r="I2306" t="inlineStr">
        <is>
          <t>O MINISTÉRIO PÚBLICO DO ACRE ABRIU INQUÉRITO PARA INVESTIGAR DENÚNCIA DE SUPERFATURAMENTO NA ALIMENTAÇÃO E NAS PASSAGENS FORNECIDAS PELO ESTADO AOS IMIGRANTES HAITIANOS E SENEGALESES.A MEDIDA FOI PUBLICADA NESTA SEMANA NO DIÁRIO ELETRÔNICO DO MINISTÉ</t>
        </is>
      </c>
      <c r="J2306">
        <f>HYPERLINK("https://portalamazonia.com/noticias/cidades/mp-investiga-superfaturamento-de-gastos-com-imigrantes-no-acre", "URL")</f>
        <v/>
      </c>
      <c r="K2306">
        <f>HYPERLINK("https://raw.githubusercontent.com/marcosmapl/dataset_imigrantes/main/noticias_filtered/portal_amazonia/haitianos/2018/00_jan/html/11718.11718_1416.html", "HTML")</f>
        <v/>
      </c>
      <c r="L2306">
        <f>HYPERLINK("https://raw.githubusercontent.com/marcosmapl/dataset_imigrantes/main/noticias_filtered/portal_amazonia/haitianos/2018/00_jan/txt/11718.11718_1416.txt", "TXT")</f>
        <v/>
      </c>
    </row>
    <row r="2307">
      <c r="A2307" s="1" t="n">
        <v>2305</v>
      </c>
      <c r="B2307" t="n">
        <v>2018</v>
      </c>
      <c r="C2307" s="2" t="n">
        <v>43124.58680555555</v>
      </c>
      <c r="D2307" t="inlineStr">
        <is>
          <t>A CRITICA</t>
        </is>
      </c>
      <c r="E2307" t="inlineStr">
        <is>
          <t>VENEZUELANOS</t>
        </is>
      </c>
      <c r="F2307" t="inlineStr">
        <is>
          <t>ESPORTES</t>
        </is>
      </c>
      <c r="G2307" t="inlineStr">
        <is>
          <t>DENIR SIMPLÍCIO</t>
        </is>
      </c>
      <c r="H2307" t="inlineStr">
        <is>
          <t>FAST CORRE CONTRA O TEMPO PELA LIBERAÇÃO DE ELENCO PARA ESTREIA NO BAREZÃO 2018</t>
        </is>
      </c>
      <c r="I2307" t="inlineStr">
        <is>
          <t>APÓS BOA PRÉ-TEMPORADA NA VENEZUELA, TIME DE PAULO MORGADO JÁ TEM BASE FORMADA, NO ENTANTO, DIRETORIA TENTA LIBERAR ATLETAS NO BID DA CBF ANTES DE JOGO CONTRA O PENAROL</t>
        </is>
      </c>
      <c r="J2307">
        <f>HYPERLINK("https://www.acritica.com/esportes/fast-corre-contra-o-tempo-pela-liberac-o-de-elenco-para-estreia-no-barez-o-2018-1.178491", "URL")</f>
        <v/>
      </c>
      <c r="K2307">
        <f>HYPERLINK("https://raw.githubusercontent.com/marcosmapl/dataset_imigrantes/main/noticias_filtered/a_critica/venezuelanos/2018/00_jan/html/1.178491_90.html", "HTML")</f>
        <v/>
      </c>
      <c r="L2307">
        <f>HYPERLINK("https://raw.githubusercontent.com/marcosmapl/dataset_imigrantes/main/noticias_filtered/a_critica/venezuelanos/2018/00_jan/txt/1.178491_90.txt", "TXT")</f>
        <v/>
      </c>
    </row>
    <row r="2308">
      <c r="A2308" s="1" t="n">
        <v>2306</v>
      </c>
      <c r="B2308" t="n">
        <v>2018</v>
      </c>
      <c r="C2308" s="2" t="n">
        <v>43123.8125</v>
      </c>
      <c r="D2308" t="inlineStr">
        <is>
          <t>PORTAL AMAZONIA</t>
        </is>
      </c>
      <c r="E2308" t="inlineStr">
        <is>
          <t>VENEZUELANOS</t>
        </is>
      </c>
      <c r="F2308" t="inlineStr">
        <is>
          <t>CIDADES</t>
        </is>
      </c>
      <c r="G2308" t="inlineStr">
        <is>
          <t>REDAÇÃO</t>
        </is>
      </c>
      <c r="H2308" t="inlineStr">
        <is>
          <t>SUSPEITA DE FURTAR CELULAR EM RR, DUPLA PUBLICA SELFIE NO INSTAGRAM DA VÍTIMA</t>
        </is>
      </c>
      <c r="I2308" t="inlineStr">
        <is>
          <t>APÓS TER O CELULAR ROUBADO, UMA EMPRESÁRIA DE BOA VISTA, TEVE UMA SURPRESA NADA AGRADÁVEL AO ACESSAR AS REDES SOCIAIS: OS SUPOSTOS LADRÕES NÃO SÓ TIRARAM SELFIES COM TELEFONE DA VÍTIMA, COMO TAMBÉM PUBLICARAM UMA FOTO NO PERFIL DELA NO INSTAGRAM.FOTO</t>
        </is>
      </c>
      <c r="J2308">
        <f>HYPERLINK("https://portalamazonia.com/noticias/cidades/suspeita-de-furtar-celular-em-rr-dupla-publica-selfie-no-instagram-da-vitima", "URL")</f>
        <v/>
      </c>
      <c r="K2308">
        <f>HYPERLINK("https://raw.githubusercontent.com/marcosmapl/dataset_imigrantes/main/noticias_filtered/portal_amazonia/venezuelanos/2018/00_jan/html/11652.11652_1528.html", "HTML")</f>
        <v/>
      </c>
      <c r="L2308">
        <f>HYPERLINK("https://raw.githubusercontent.com/marcosmapl/dataset_imigrantes/main/noticias_filtered/portal_amazonia/venezuelanos/2018/00_jan/txt/11652.11652_1528.txt", "TXT")</f>
        <v/>
      </c>
    </row>
    <row r="2309">
      <c r="A2309" s="1" t="n">
        <v>2307</v>
      </c>
      <c r="B2309" t="n">
        <v>2018</v>
      </c>
      <c r="C2309" s="2" t="n">
        <v>43123.53888888889</v>
      </c>
      <c r="D2309" t="inlineStr">
        <is>
          <t>A CRITICA</t>
        </is>
      </c>
      <c r="E2309" t="inlineStr">
        <is>
          <t>VENEZUELANOS</t>
        </is>
      </c>
      <c r="F2309" t="inlineStr"/>
      <c r="G2309" t="inlineStr">
        <is>
          <t>ACRÍTICA.COM</t>
        </is>
      </c>
      <c r="H2309" t="inlineStr">
        <is>
          <t>BAR DO CIPRIANO PROMOVE CARNAVAL SOLIDÁRIO EM PROL DO LAR BATISTA JANELL DOYLE</t>
        </is>
      </c>
      <c r="I2309" t="inlineStr">
        <is>
          <t>O EVENTO GRATUITO ACONTECE NO PRÓXIMO SÁBADO (27). QUEM QUISER, PODE AJUDAR COM ALIMENTOS NÃO-PERECÍVEIS OU LATAS DE LEITE</t>
        </is>
      </c>
      <c r="J2309">
        <f>HYPERLINK("https://www.acritica.com/bar-do-cipriano-promove-carnaval-solidario-em-prol-do-lar-batista-janell-doyle-1.178228", "URL")</f>
        <v/>
      </c>
      <c r="K2309">
        <f>HYPERLINK("https://raw.githubusercontent.com/marcosmapl/dataset_imigrantes/main/noticias_filtered/a_critica/venezuelanos/2018/00_jan/html/1.178228_835.html", "HTML")</f>
        <v/>
      </c>
      <c r="L2309">
        <f>HYPERLINK("https://raw.githubusercontent.com/marcosmapl/dataset_imigrantes/main/noticias_filtered/a_critica/venezuelanos/2018/00_jan/txt/1.178228_835.txt", "TXT")</f>
        <v/>
      </c>
    </row>
    <row r="2310">
      <c r="A2310" s="1" t="n">
        <v>2308</v>
      </c>
      <c r="B2310" t="n">
        <v>2018</v>
      </c>
      <c r="C2310" s="2" t="n">
        <v>43118.52291666667</v>
      </c>
      <c r="D2310" t="inlineStr">
        <is>
          <t>A CRITICA</t>
        </is>
      </c>
      <c r="E2310" t="inlineStr">
        <is>
          <t>VENEZUELANOS</t>
        </is>
      </c>
      <c r="F2310" t="inlineStr">
        <is>
          <t>MANAUS</t>
        </is>
      </c>
      <c r="G2310" t="inlineStr">
        <is>
          <t>AMANDA GUIMARÃES</t>
        </is>
      </c>
      <c r="H2310" t="inlineStr">
        <is>
          <t>CRIMINOSOS QUE MATARAM AMAZONENSE NA VENEZUELA MONITORARAM COMBOIO DE TURISTAS</t>
        </is>
      </c>
      <c r="I2310" t="inlineStr">
        <is>
          <t>ANTES DE DAREM EMBOSCADA, ASSALTANTES SEGUIRAM CARROS DE BRASILEIROS NO PAÍS. O VEÍCULO DE AMAURY COSTA ERA O QUARTO DA FILA E FOI FECHADO POR DOIS CARROS NO MEIO DO CAMINHO</t>
        </is>
      </c>
      <c r="J2310">
        <f>HYPERLINK("https://www.acritica.com/manaus/criminosos-que-mataram-amazonense-na-venezuela-monitoraram-comboio-de-turistas-1.177467", "URL")</f>
        <v/>
      </c>
      <c r="K2310">
        <f>HYPERLINK("https://raw.githubusercontent.com/marcosmapl/dataset_imigrantes/main/noticias_filtered/a_critica/venezuelanos/2018/00_jan/html/1.177467_668.html", "HTML")</f>
        <v/>
      </c>
      <c r="L2310">
        <f>HYPERLINK("https://raw.githubusercontent.com/marcosmapl/dataset_imigrantes/main/noticias_filtered/a_critica/venezuelanos/2018/00_jan/txt/1.177467_668.txt", "TXT")</f>
        <v/>
      </c>
    </row>
    <row r="2311">
      <c r="A2311" s="1" t="n">
        <v>2309</v>
      </c>
      <c r="B2311" t="n">
        <v>2018</v>
      </c>
      <c r="C2311" s="2" t="n">
        <v>43118.50972222222</v>
      </c>
      <c r="D2311" t="inlineStr">
        <is>
          <t>PORTAL AMAZONIA</t>
        </is>
      </c>
      <c r="E2311" t="inlineStr">
        <is>
          <t>VENEZUELANOS</t>
        </is>
      </c>
      <c r="F2311" t="inlineStr">
        <is>
          <t>CIDADES</t>
        </is>
      </c>
      <c r="G2311" t="inlineStr">
        <is>
          <t>REDAÇÃO</t>
        </is>
      </c>
      <c r="H2311" t="inlineStr">
        <is>
          <t>DIREITOS HUMANOS VERIFICA SITUAÇÃO DE VENEZUELANOS NO AM, PA E RR</t>
        </is>
      </c>
      <c r="I2311" t="inlineStr">
        <is>
          <t>O CONSELHO NACIONAL DOS DIREITOS HUMANOS (CNDH) ESTÁ EM MISSÃO PELOS ESTADOS DO PARÁ, AMAZONAS E RORAIMA, ATÉ 26 DE JANEIRO, VERIFICANDO A SITUAÇÃO DOS DIREITOS HUMANOS DOS IMIGRANTES VENEZUELANOS QUE TÊM INGRESSADO NO TERRITÓRIO BRASILEIRO</t>
        </is>
      </c>
      <c r="J2311">
        <f>HYPERLINK("https://portalamazonia.com/noticias/cidades/direitos-humanos-verifica-situacao-de-venezuelanos-no-am-pa-e-rr", "URL")</f>
        <v/>
      </c>
      <c r="K2311">
        <f>HYPERLINK("https://raw.githubusercontent.com/marcosmapl/dataset_imigrantes/main/noticias_filtered/portal_amazonia/venezuelanos/2018/00_jan/html/11527.11527_1444.html", "HTML")</f>
        <v/>
      </c>
      <c r="L2311">
        <f>HYPERLINK("https://raw.githubusercontent.com/marcosmapl/dataset_imigrantes/main/noticias_filtered/portal_amazonia/venezuelanos/2018/00_jan/txt/11527.11527_1444.txt", "TXT")</f>
        <v/>
      </c>
    </row>
    <row r="2312">
      <c r="A2312" s="1" t="n">
        <v>2310</v>
      </c>
      <c r="B2312" t="n">
        <v>2018</v>
      </c>
      <c r="C2312" s="2" t="n">
        <v>43117.82152777778</v>
      </c>
      <c r="D2312" t="inlineStr">
        <is>
          <t>A CRITICA</t>
        </is>
      </c>
      <c r="E2312" t="inlineStr">
        <is>
          <t>VENEZUELANOS</t>
        </is>
      </c>
      <c r="F2312" t="inlineStr">
        <is>
          <t>MANAUS</t>
        </is>
      </c>
      <c r="G2312" t="inlineStr">
        <is>
          <t>OSWALDO NETO</t>
        </is>
      </c>
      <c r="H2312" t="inlineStr">
        <is>
          <t>CINCO SUSPEITOS DE ENVOLVIMENTO NA MORTE DE AMAZONENSE NA VENEZUELA SÃO DETIDOS</t>
        </is>
      </c>
      <c r="I2312" t="inlineStr">
        <is>
          <t>ENTRE OS DETIDOS ESTÁ UM ADOLESCENTE DE 16 ANOS, INFORMOU SECRETARIA ESTADUAL EXTRAORDINÁRIA DE GESTÃO INTERNACIONAL (SEEGI) DE RORAIMA</t>
        </is>
      </c>
      <c r="J2312">
        <f>HYPERLINK("https://www.acritica.com/manaus/cinco-suspeitos-de-envolvimento-na-morte-de-amazonense-na-venezuela-s-o-detidos-1.177518", "URL")</f>
        <v/>
      </c>
      <c r="K2312">
        <f>HYPERLINK("https://raw.githubusercontent.com/marcosmapl/dataset_imigrantes/main/noticias_filtered/a_critica/venezuelanos/2018/00_jan/html/1.177518_534.html", "HTML")</f>
        <v/>
      </c>
      <c r="L2312">
        <f>HYPERLINK("https://raw.githubusercontent.com/marcosmapl/dataset_imigrantes/main/noticias_filtered/a_critica/venezuelanos/2018/00_jan/txt/1.177518_534.txt", "TXT")</f>
        <v/>
      </c>
    </row>
    <row r="2313">
      <c r="A2313" s="1" t="n">
        <v>2311</v>
      </c>
      <c r="B2313" t="n">
        <v>2018</v>
      </c>
      <c r="C2313" s="2" t="n">
        <v>43117.7125</v>
      </c>
      <c r="D2313" t="inlineStr">
        <is>
          <t>PORTAL AMAZONIA</t>
        </is>
      </c>
      <c r="E2313" t="inlineStr">
        <is>
          <t>VENEZUELANOS</t>
        </is>
      </c>
      <c r="F2313" t="inlineStr">
        <is>
          <t>CIDADES</t>
        </is>
      </c>
      <c r="G2313" t="inlineStr">
        <is>
          <t>REDAÇÃO</t>
        </is>
      </c>
      <c r="H2313" t="inlineStr">
        <is>
          <t>CO-FINANCIAMENTO DESTINADO AO ACOLHIMENTO DE INDÍGENAS VENEZUELANOS EM MANAUS ENCERRA ESTA SEMANA</t>
        </is>
      </c>
      <c r="I2313" t="inlineStr">
        <is>
          <t>ATUALMENTE, 139 INDÍGENAS VENEZUELANOS DA ETNIA WARAO SÃO ACOLHIDOS EM QUATRO ABRIGOS DISPONIBILIZADOS PELA PREFEITURA DE MANAUS (AM). MAS PARA MANTER AS AÇÕES DE ACOLHIMENTO, A SECRETARIA MUNICIPAL DE ASSISTÊNCIA SOCIAL E DIREITOS HUMANOS (SEMASDH)</t>
        </is>
      </c>
      <c r="J2313">
        <f>HYPERLINK("https://portalamazonia.com/noticias/cidades/co-financiamento-destinado-ao-acolhimento-de-indigenas-venezuelanos-em-manaus-encerra-esta-semana", "URL")</f>
        <v/>
      </c>
      <c r="K2313">
        <f>HYPERLINK("https://raw.githubusercontent.com/marcosmapl/dataset_imigrantes/main/noticias_filtered/portal_amazonia/venezuelanos/2018/00_jan/html/11515.25748_1440.html", "HTML")</f>
        <v/>
      </c>
      <c r="L2313">
        <f>HYPERLINK("https://raw.githubusercontent.com/marcosmapl/dataset_imigrantes/main/noticias_filtered/portal_amazonia/venezuelanos/2018/00_jan/txt/11515.25748_1440.txt", "TXT")</f>
        <v/>
      </c>
    </row>
    <row r="2314">
      <c r="A2314" s="1" t="n">
        <v>2312</v>
      </c>
      <c r="B2314" t="n">
        <v>2018</v>
      </c>
      <c r="C2314" s="2" t="n">
        <v>43116.55625</v>
      </c>
      <c r="D2314" t="inlineStr">
        <is>
          <t>PORTAL AMAZONIA</t>
        </is>
      </c>
      <c r="E2314" t="inlineStr">
        <is>
          <t>VENEZUELANOS</t>
        </is>
      </c>
      <c r="F2314" t="inlineStr">
        <is>
          <t>CIDADES</t>
        </is>
      </c>
      <c r="G2314" t="inlineStr">
        <is>
          <t>REDAÇÃO</t>
        </is>
      </c>
      <c r="H2314" t="inlineStr">
        <is>
          <t>CORPO DE AMAZONENSE MORTO NA VENEZUELA É VELADO EM MANAUS</t>
        </is>
      </c>
      <c r="I2314" t="inlineStr">
        <is>
          <t>O CORPO DO TURISTA AMAZONENSE AMAURY CASTRO DA SILVA, QUE FOI MORTO DURANTE UM ASSALTO NA VENEZUELA, CHEGOU A MANAUS, NO AMAZONAS, NESTA SEGUNDA-FEIRA (15) E SERÁ VELADO E ENTERRADO NESTA TERÇA-FEIRA (16).DE ACORDO COM A SECRETARIA-ADJUNTA DA GESTÃO</t>
        </is>
      </c>
      <c r="J2314">
        <f>HYPERLINK("https://portalamazonia.com/noticias/cidades/corpo-de-amazonense-morto-na-venezuela-e-velado-em-manaus", "URL")</f>
        <v/>
      </c>
      <c r="K2314">
        <f>HYPERLINK("https://raw.githubusercontent.com/marcosmapl/dataset_imigrantes/main/noticias_filtered/portal_amazonia/venezuelanos/2018/00_jan/html/11464.11464_1427.html", "HTML")</f>
        <v/>
      </c>
      <c r="L2314">
        <f>HYPERLINK("https://raw.githubusercontent.com/marcosmapl/dataset_imigrantes/main/noticias_filtered/portal_amazonia/venezuelanos/2018/00_jan/txt/11464.11464_1427.txt", "TXT")</f>
        <v/>
      </c>
    </row>
    <row r="2315">
      <c r="A2315" s="1" t="n">
        <v>2313</v>
      </c>
      <c r="B2315" t="n">
        <v>2018</v>
      </c>
      <c r="C2315" s="2" t="n">
        <v>43116.51597222222</v>
      </c>
      <c r="D2315" t="inlineStr">
        <is>
          <t>A CRITICA</t>
        </is>
      </c>
      <c r="E2315" t="inlineStr">
        <is>
          <t>VENEZUELANOS</t>
        </is>
      </c>
      <c r="F2315" t="inlineStr">
        <is>
          <t>MANAUS</t>
        </is>
      </c>
      <c r="G2315" t="inlineStr">
        <is>
          <t>AMANDA GUIMARÃES</t>
        </is>
      </c>
      <c r="H2315" t="inlineStr">
        <is>
          <t>FAMILIARES E AMIGOS SE DESPEDEM EM MANAUS DE AMAZONENSE MORTO NA VENEZUELA</t>
        </is>
      </c>
      <c r="I2315" t="inlineStr">
        <is>
          <t>SEGUNDO PARENTE, O FILHO DE 16 ANOS DE AMAURY, QUE SEGURAVA O PAI NOS BRAÇOS, CONFIRMOU EM INGLÊS PARA A IRMÃ A MORTE DO PAI, PARA NÃO PREOCUPAR A MÃE DELES</t>
        </is>
      </c>
      <c r="J2315">
        <f>HYPERLINK("https://www.acritica.com/manaus/familiares-e-amigos-se-despedem-em-manaus-de-amazonense-morto-na-venezuela-1.98773", "URL")</f>
        <v/>
      </c>
      <c r="K2315">
        <f>HYPERLINK("https://raw.githubusercontent.com/marcosmapl/dataset_imigrantes/main/noticias_filtered/a_critica/venezuelanos/2018/00_jan/html/1.98773_1201.html", "HTML")</f>
        <v/>
      </c>
      <c r="L2315">
        <f>HYPERLINK("https://raw.githubusercontent.com/marcosmapl/dataset_imigrantes/main/noticias_filtered/a_critica/venezuelanos/2018/00_jan/txt/1.98773_1201.txt", "TXT")</f>
        <v/>
      </c>
    </row>
    <row r="2316">
      <c r="A2316" s="1" t="n">
        <v>2314</v>
      </c>
      <c r="B2316" t="n">
        <v>2018</v>
      </c>
      <c r="C2316" s="2" t="n">
        <v>43116.39488425926</v>
      </c>
      <c r="D2316" t="inlineStr">
        <is>
          <t>A CRITICA</t>
        </is>
      </c>
      <c r="E2316" t="inlineStr">
        <is>
          <t>VENEZUELANOS</t>
        </is>
      </c>
      <c r="F2316" t="inlineStr">
        <is>
          <t>MANAUS</t>
        </is>
      </c>
      <c r="G2316" t="inlineStr">
        <is>
          <t>KELLY MELO</t>
        </is>
      </c>
      <c r="H2316" t="inlineStr">
        <is>
          <t>AMAZONENSES DENUNCIAM FRAGILIDADE SOCIAL E CENAS DE VIOLÊNCIA VISTAS NA VENEZUELA</t>
        </is>
      </c>
      <c r="I2316" t="inlineStr">
        <is>
          <t>DEBATE REACENDEU APÓS MORTE DO AMAZONENSE AMAURY CASTRO DA SILVA, 47, VÍTIMA DE LATROCÍNIO DURANTE VIAGEM DE CARRO AO PAÍS VIZINHO</t>
        </is>
      </c>
      <c r="J2316">
        <f>HYPERLINK("https://www.acritica.com/manaus/amazonenses-denunciam-fragilidade-social-e-cenas-de-violencia-vistas-na-venezuela-1.98778", "URL")</f>
        <v/>
      </c>
      <c r="K2316">
        <f>HYPERLINK("https://raw.githubusercontent.com/marcosmapl/dataset_imigrantes/main/noticias_filtered/a_critica/venezuelanos/2018/00_jan/html/1.98778_1058.html", "HTML")</f>
        <v/>
      </c>
      <c r="L2316">
        <f>HYPERLINK("https://raw.githubusercontent.com/marcosmapl/dataset_imigrantes/main/noticias_filtered/a_critica/venezuelanos/2018/00_jan/txt/1.98778_1058.txt", "TXT")</f>
        <v/>
      </c>
    </row>
    <row r="2317">
      <c r="A2317" s="1" t="n">
        <v>2315</v>
      </c>
      <c r="B2317" t="n">
        <v>2018</v>
      </c>
      <c r="C2317" s="2" t="n">
        <v>43115.98155092593</v>
      </c>
      <c r="D2317" t="inlineStr">
        <is>
          <t>A CRITICA</t>
        </is>
      </c>
      <c r="E2317" t="inlineStr">
        <is>
          <t>VENEZUELANOS</t>
        </is>
      </c>
      <c r="F2317" t="inlineStr">
        <is>
          <t>OPINIAO</t>
        </is>
      </c>
      <c r="G2317" t="inlineStr"/>
      <c r="H2317" t="inlineStr">
        <is>
          <t>TURISMO NA VENEZUELA</t>
        </is>
      </c>
      <c r="I2317" t="inlineStr"/>
      <c r="J2317">
        <f>HYPERLINK("https://www.acritica.com/opiniao/turismo-na-venezuela-1.229193", "URL")</f>
        <v/>
      </c>
      <c r="K2317">
        <f>HYPERLINK("https://raw.githubusercontent.com/marcosmapl/dataset_imigrantes/main/noticias_filtered/a_critica/venezuelanos/2018/00_jan/html/1.229193_235.html", "HTML")</f>
        <v/>
      </c>
      <c r="L2317">
        <f>HYPERLINK("https://raw.githubusercontent.com/marcosmapl/dataset_imigrantes/main/noticias_filtered/a_critica/venezuelanos/2018/00_jan/txt/1.229193_235.txt", "TXT")</f>
        <v/>
      </c>
    </row>
    <row r="2318">
      <c r="A2318" s="1" t="n">
        <v>2316</v>
      </c>
      <c r="B2318" t="n">
        <v>2018</v>
      </c>
      <c r="C2318" s="2" t="n">
        <v>43114.90486111111</v>
      </c>
      <c r="D2318" t="inlineStr">
        <is>
          <t>A CRITICA</t>
        </is>
      </c>
      <c r="E2318" t="inlineStr">
        <is>
          <t>VENEZUELANOS</t>
        </is>
      </c>
      <c r="F2318" t="inlineStr">
        <is>
          <t>MANAUS</t>
        </is>
      </c>
      <c r="G2318" t="inlineStr">
        <is>
          <t>VITOR GAVIRATI</t>
        </is>
      </c>
      <c r="H2318" t="inlineStr">
        <is>
          <t>CORPO DE AMAZONENSE MORTO NA VENEZUELA CHEGA EM MANAUS NESTA SEGUNDA (15)</t>
        </is>
      </c>
      <c r="I2318" t="inlineStr">
        <is>
          <t>O CORPO DE AMAURY SERÁ LEVADO ATÉ PACARAIMA, EM RORAIMA, E DEPOIS SEGUE PARA MANAUS EM AVIÃO DA EMPRESA ONDE ELE TRABALHAVA</t>
        </is>
      </c>
      <c r="J2318">
        <f>HYPERLINK("https://www.acritica.com/manaus/corpo-de-amazonense-morto-na-venezuela-chega-em-manaus-nesta-segunda-15-1.98833", "URL")</f>
        <v/>
      </c>
      <c r="K2318">
        <f>HYPERLINK("https://raw.githubusercontent.com/marcosmapl/dataset_imigrantes/main/noticias_filtered/a_critica/venezuelanos/2018/00_jan/html/1.98833_715.html", "HTML")</f>
        <v/>
      </c>
      <c r="L2318">
        <f>HYPERLINK("https://raw.githubusercontent.com/marcosmapl/dataset_imigrantes/main/noticias_filtered/a_critica/venezuelanos/2018/00_jan/txt/1.98833_715.txt", "TXT")</f>
        <v/>
      </c>
    </row>
    <row r="2319">
      <c r="A2319" s="1" t="n">
        <v>2317</v>
      </c>
      <c r="B2319" t="n">
        <v>2018</v>
      </c>
      <c r="C2319" s="2" t="n">
        <v>43114.73402777778</v>
      </c>
      <c r="D2319" t="inlineStr">
        <is>
          <t>A CRITICA</t>
        </is>
      </c>
      <c r="E2319" t="inlineStr">
        <is>
          <t>VENEZUELANOS</t>
        </is>
      </c>
      <c r="F2319" t="inlineStr">
        <is>
          <t>MANAUS</t>
        </is>
      </c>
      <c r="G2319" t="inlineStr">
        <is>
          <t>VITOR GAVIRATI</t>
        </is>
      </c>
      <c r="H2319" t="inlineStr">
        <is>
          <t>AMAZONENSE MORRE NOS BRAÇOS DO FILHO APÓS SER VÍTIMA DE LATROCÍNIO NA VENEZUELA</t>
        </is>
      </c>
      <c r="I2319" t="inlineStr">
        <is>
          <t>AMAURY CASTRO DA SILVA, 47, ESTAVA DE FÉRIAS COM A FAMÍLIA NO PAÍS VIZINHO. GRUPO DE TURISTAS FOI VÍTIMA DE EMBOSCADA EM UMA RODOVIA VENEZUELANA</t>
        </is>
      </c>
      <c r="J2319">
        <f>HYPERLINK("https://www.acritica.com/manaus/amazonense-morre-nos-bracos-do-filho-apos-ser-vitima-de-latrocinio-na-venezuela-1.98838", "URL")</f>
        <v/>
      </c>
      <c r="K2319">
        <f>HYPERLINK("https://raw.githubusercontent.com/marcosmapl/dataset_imigrantes/main/noticias_filtered/a_critica/venezuelanos/2018/00_jan/html/1.98838_950.html", "HTML")</f>
        <v/>
      </c>
      <c r="L2319">
        <f>HYPERLINK("https://raw.githubusercontent.com/marcosmapl/dataset_imigrantes/main/noticias_filtered/a_critica/venezuelanos/2018/00_jan/txt/1.98838_950.txt", "TXT")</f>
        <v/>
      </c>
    </row>
    <row r="2320">
      <c r="A2320" s="1" t="n">
        <v>2318</v>
      </c>
      <c r="B2320" t="n">
        <v>2018</v>
      </c>
      <c r="C2320" s="2" t="n">
        <v>43112.88680555556</v>
      </c>
      <c r="D2320" t="inlineStr">
        <is>
          <t>G1</t>
        </is>
      </c>
      <c r="E2320" t="inlineStr">
        <is>
          <t>HAITIANOS</t>
        </is>
      </c>
      <c r="F2320" t="inlineStr"/>
      <c r="G2320" t="inlineStr"/>
      <c r="H2320" t="inlineStr">
        <is>
          <t>TRUMP VOLTA AO CENTRO DA POLÊMICA AO USAR TERMO CHULO SOBRE IMIGRANTES</t>
        </is>
      </c>
      <c r="I2320" t="inlineStr"/>
      <c r="J2320">
        <f>HYPERLINK("http://g1.globo.com/jornal-nacional/noticia/2018/01/trump-volta-ao-centro-da-polemica-ao-usar-termo-chulo-sobre-imigrantes.html", "URL")</f>
        <v/>
      </c>
      <c r="K2320">
        <f>HYPERLINK("https://raw.githubusercontent.com/marcosmapl/dataset_imigrantes/main/noticias_filtered/g1/haitianos/2018/00_jan/html/g1_c5765422-2313-11ed-b24f-6dbe51e79fca_3025.html", "HTML")</f>
        <v/>
      </c>
      <c r="L2320">
        <f>HYPERLINK("https://raw.githubusercontent.com/marcosmapl/dataset_imigrantes/main/noticias_filtered/g1/haitianos/2018/00_jan/txt/g1_c5765422-2313-11ed-b24f-6dbe51e79fca_3025.txt", "TXT")</f>
        <v/>
      </c>
    </row>
    <row r="2321">
      <c r="A2321" s="1" t="n">
        <v>2319</v>
      </c>
      <c r="B2321" t="n">
        <v>2018</v>
      </c>
      <c r="C2321" s="2" t="n">
        <v>43112.38888888889</v>
      </c>
      <c r="D2321" t="inlineStr">
        <is>
          <t>A CRITICA</t>
        </is>
      </c>
      <c r="E2321" t="inlineStr">
        <is>
          <t>HAITIANOS</t>
        </is>
      </c>
      <c r="F2321" t="inlineStr"/>
      <c r="G2321" t="inlineStr">
        <is>
          <t>AGÊNCIA EFE</t>
        </is>
      </c>
      <c r="H2321" t="inlineStr">
        <is>
          <t>TRUMP USA PALAVRAS DE BAIXO CALÃO AO FALAR SOBRE HAITI E OUTROS PAÍSES</t>
        </is>
      </c>
      <c r="I2321" t="inlineStr">
        <is>
          <t>TRUMP REAGIU DESSA FORMA QUANDO DOIS SENADORES PROPUSERAM UM PROJETO DE LEI MIGRATÓRIA QUE CONCEDERIA VISTOS A ALGUNS DOS CIDADÃOS DE PAÍSES</t>
        </is>
      </c>
      <c r="J2321">
        <f>HYPERLINK("https://www.acritica.com/trump-usa-palavras-de-baixo-cal-o-ao-falar-sobre-haiti-e-outros-paises-1.98982", "URL")</f>
        <v/>
      </c>
      <c r="K2321">
        <f>HYPERLINK("https://raw.githubusercontent.com/marcosmapl/dataset_imigrantes/main/noticias_filtered/a_critica/haitianos/2018/00_jan/html/1.98982_383.html", "HTML")</f>
        <v/>
      </c>
      <c r="L2321">
        <f>HYPERLINK("https://raw.githubusercontent.com/marcosmapl/dataset_imigrantes/main/noticias_filtered/a_critica/haitianos/2018/00_jan/txt/1.98982_383.txt", "TXT")</f>
        <v/>
      </c>
    </row>
    <row r="2322">
      <c r="A2322" s="1" t="n">
        <v>2320</v>
      </c>
      <c r="B2322" t="n">
        <v>2018</v>
      </c>
      <c r="C2322" s="2" t="n">
        <v>43111.77847222222</v>
      </c>
      <c r="D2322" t="inlineStr">
        <is>
          <t>PORTAL AMAZONIA</t>
        </is>
      </c>
      <c r="E2322" t="inlineStr">
        <is>
          <t>VENEZUELANOS</t>
        </is>
      </c>
      <c r="F2322" t="inlineStr">
        <is>
          <t>CIDADES</t>
        </is>
      </c>
      <c r="G2322" t="inlineStr">
        <is>
          <t>REDAÇÃO</t>
        </is>
      </c>
      <c r="H2322" t="inlineStr">
        <is>
          <t>VENEZUELANOS LIDERAM PEDIDOS DE REFÚGIO NO BRASIL EM 2017</t>
        </is>
      </c>
      <c r="I2322" t="inlineStr">
        <is>
          <t>O NÚMERO DE PEDIDOS DE REFÚGIO NO BRASIL CRESCEU 228% EM 2017 E CHEGOU A 33.875, O MAIOR JÁ REGISTRADO PELO PAÍS. OS DADOS SÃO DO COMITÊ NACIONAL PARA OS REFUGIADOS (CONARE), ÓRGÃO LIGADO AO MINISTÉRIO DA JUSTIÇA, E FORAM DIVULGADOS PELO PORTAL G1.</t>
        </is>
      </c>
      <c r="J2322">
        <f>HYPERLINK("https://portalamazonia.com/noticias/cidades/venezuelanos-lideram-pedidos-de-refugio-no-brasil-em-2017", "URL")</f>
        <v/>
      </c>
      <c r="K2322">
        <f>HYPERLINK("https://raw.githubusercontent.com/marcosmapl/dataset_imigrantes/main/noticias_filtered/portal_amazonia/venezuelanos/2018/00_jan/html/11390.11390_1437.html", "HTML")</f>
        <v/>
      </c>
      <c r="L2322">
        <f>HYPERLINK("https://raw.githubusercontent.com/marcosmapl/dataset_imigrantes/main/noticias_filtered/portal_amazonia/venezuelanos/2018/00_jan/txt/11390.11390_1437.txt", "TXT")</f>
        <v/>
      </c>
    </row>
    <row r="2323">
      <c r="A2323" s="1" t="n">
        <v>2321</v>
      </c>
      <c r="B2323" t="n">
        <v>2018</v>
      </c>
      <c r="C2323" s="2" t="n">
        <v>43110.9521875</v>
      </c>
      <c r="D2323" t="inlineStr">
        <is>
          <t>A CRITICA</t>
        </is>
      </c>
      <c r="E2323" t="inlineStr">
        <is>
          <t>VENEZUELANOS</t>
        </is>
      </c>
      <c r="F2323" t="inlineStr">
        <is>
          <t>ESPORTES</t>
        </is>
      </c>
      <c r="G2323" t="inlineStr">
        <is>
          <t>DENIR SIMPLÍCIO</t>
        </is>
      </c>
      <c r="H2323" t="inlineStr">
        <is>
          <t>FAST CLUBE FICA NO 0 A 0 EM SEGUNDO AMISTOSO NA VENEZUELA</t>
        </is>
      </c>
      <c r="I2323" t="inlineStr">
        <is>
          <t>O DUELO CONTRA O ASOCIACIÓN CIVIL LALA FÚTBOL CLUB FOI O SEGUNDO DO TRICOLOR DE AÇO, QUE FAZ PRÉ-TEMPORADA EM SOLO VENEZUELANO. ROLO COMPRESSOR AINDA FAZ DOIS AMISTOSOS ANTES DE RETORNAR AO AMAZONAS.</t>
        </is>
      </c>
      <c r="J2323">
        <f>HYPERLINK("https://www.acritica.com/esportes/fast-clube-fica-no-0-a-0-em-segundo-amistoso-na-venezuela-1.99084", "URL")</f>
        <v/>
      </c>
      <c r="K2323">
        <f>HYPERLINK("https://raw.githubusercontent.com/marcosmapl/dataset_imigrantes/main/noticias_filtered/a_critica/venezuelanos/2018/00_jan/html/1.99084_900.html", "HTML")</f>
        <v/>
      </c>
      <c r="L2323">
        <f>HYPERLINK("https://raw.githubusercontent.com/marcosmapl/dataset_imigrantes/main/noticias_filtered/a_critica/venezuelanos/2018/00_jan/txt/1.99084_900.txt", "TXT")</f>
        <v/>
      </c>
    </row>
    <row r="2324">
      <c r="A2324" s="1" t="n">
        <v>2322</v>
      </c>
      <c r="B2324" t="n">
        <v>2018</v>
      </c>
      <c r="C2324" s="2" t="n">
        <v>43105.95972222222</v>
      </c>
      <c r="D2324" t="inlineStr">
        <is>
          <t>A CRITICA</t>
        </is>
      </c>
      <c r="E2324" t="inlineStr">
        <is>
          <t>VENEZUELANOS</t>
        </is>
      </c>
      <c r="F2324" t="inlineStr"/>
      <c r="G2324" t="inlineStr">
        <is>
          <t>DANILO ALVES</t>
        </is>
      </c>
      <c r="H2324" t="inlineStr">
        <is>
          <t>EMBARCAÇÕES LOTADAS HÁ UMA SEMANA FAZEM AMAZONENSES FICAREM ILHADOS EM MARGARITA</t>
        </is>
      </c>
      <c r="I2324" t="inlineStr">
        <is>
          <t>ESTRANGEIROS NA ILHA VENEZUELANA ESPERAM ATÉ TRÊS DIAS PARA CONSEGUIR PASSAGENS DE VOLTA E DENUNCIAM QUE OS PREÇOS AUMENTARAM APROXIMADAMENTE R$ 100</t>
        </is>
      </c>
      <c r="J2324">
        <f>HYPERLINK("https://www.acritica.com/embarcac-es-lotadas-ha-uma-semana-fazem-amazonenses-ficarem-ilhados-em-margarita-1.100178", "URL")</f>
        <v/>
      </c>
      <c r="K2324">
        <f>HYPERLINK("https://raw.githubusercontent.com/marcosmapl/dataset_imigrantes/main/noticias_filtered/a_critica/venezuelanos/2018/00_jan/html/1.100178_890.html", "HTML")</f>
        <v/>
      </c>
      <c r="L2324">
        <f>HYPERLINK("https://raw.githubusercontent.com/marcosmapl/dataset_imigrantes/main/noticias_filtered/a_critica/venezuelanos/2018/00_jan/txt/1.100178_890.txt", "TXT")</f>
        <v/>
      </c>
    </row>
    <row r="2325">
      <c r="A2325" s="1" t="n">
        <v>2323</v>
      </c>
      <c r="B2325" t="n">
        <v>2017</v>
      </c>
      <c r="C2325" s="2" t="n">
        <v>43100.53388888889</v>
      </c>
      <c r="D2325" t="inlineStr">
        <is>
          <t>A CRITICA</t>
        </is>
      </c>
      <c r="E2325" t="inlineStr">
        <is>
          <t>VENEZUELANOS</t>
        </is>
      </c>
      <c r="F2325" t="inlineStr"/>
      <c r="G2325" t="inlineStr">
        <is>
          <t>PAULO VICTOR CHAGAS (AGÊNCIA BRASIL)</t>
        </is>
      </c>
      <c r="H2325" t="inlineStr">
        <is>
          <t>MINISTÉRIO DAS RELAÇÕES EXTERIORES NEGOCIA LIBERAÇÃO DE BRASILEIRO DETIDO NA VENEZUELA</t>
        </is>
      </c>
      <c r="I2325" t="inlineStr">
        <is>
          <t>CONSULADO DO BRASIL EM CARACAS MANTÉM CONTATO COM AS AUTORIDADES LOCAIS E COM A FAMÍLIA DO JOVEM DETIDO. JONATAN DINIZ, DE 31 ANOS, SERIA MEMBRO DE UMA ONG QUE ATUA NO PAÍS</t>
        </is>
      </c>
      <c r="J2325">
        <f>HYPERLINK("https://www.acritica.com/ministerio-das-relac-es-exteriores-negocia-liberac-o-de-brasileiro-detido-na-venezuela-1.206082", "URL")</f>
        <v/>
      </c>
      <c r="K2325">
        <f>HYPERLINK("https://raw.githubusercontent.com/marcosmapl/dataset_imigrantes/main/noticias_filtered/a_critica/venezuelanos/2017/11_dez/html/1.206082_690.html", "HTML")</f>
        <v/>
      </c>
      <c r="L2325">
        <f>HYPERLINK("https://raw.githubusercontent.com/marcosmapl/dataset_imigrantes/main/noticias_filtered/a_critica/venezuelanos/2017/11_dez/txt/1.206082_690.txt", "TXT")</f>
        <v/>
      </c>
    </row>
    <row r="2326">
      <c r="A2326" s="1" t="n">
        <v>2324</v>
      </c>
      <c r="B2326" t="n">
        <v>2017</v>
      </c>
      <c r="C2326" s="2" t="n">
        <v>43095.84861111111</v>
      </c>
      <c r="D2326" t="inlineStr">
        <is>
          <t>A CRITICA</t>
        </is>
      </c>
      <c r="E2326" t="inlineStr">
        <is>
          <t>VENEZUELANOS</t>
        </is>
      </c>
      <c r="F2326" t="inlineStr"/>
      <c r="G2326" t="inlineStr">
        <is>
          <t>IVAN RICHARD ESPOSITO - REPÓRTER DA AGÊNCIA BRASIL</t>
        </is>
      </c>
      <c r="H2326" t="inlineStr">
        <is>
          <t>GOVERNO EXPULSA MEMBRO DA EMBAIXADA DA VENEZUELA NO BRASIL DO PAÍS</t>
        </is>
      </c>
      <c r="I2326" t="inlineStr">
        <is>
          <t>A DECISÃO FOI TOMADA EM RESPOSTA À DECISÃO ASSEMBLEIA NACIONAL CONSTITUINTE QUE DECLAROU O EMBAIXADOR DO BRASIL NA VENEZUELA, RUY PEREIRA, TAMBÉM COMO PERSONA NON GRATA</t>
        </is>
      </c>
      <c r="J2326">
        <f>HYPERLINK("https://www.acritica.com/governo-expulsa-membro-da-embaixada-da-venezuela-no-brasil-do-pais-1.206543", "URL")</f>
        <v/>
      </c>
      <c r="K2326">
        <f>HYPERLINK("https://raw.githubusercontent.com/marcosmapl/dataset_imigrantes/main/noticias_filtered/a_critica/venezuelanos/2017/11_dez/html/1.206543_878.html", "HTML")</f>
        <v/>
      </c>
      <c r="L2326">
        <f>HYPERLINK("https://raw.githubusercontent.com/marcosmapl/dataset_imigrantes/main/noticias_filtered/a_critica/venezuelanos/2017/11_dez/txt/1.206543_878.txt", "TXT")</f>
        <v/>
      </c>
    </row>
    <row r="2327">
      <c r="A2327" s="1" t="n">
        <v>2325</v>
      </c>
      <c r="B2327" t="n">
        <v>2017</v>
      </c>
      <c r="C2327" s="2" t="n">
        <v>43091.43055555555</v>
      </c>
      <c r="D2327" t="inlineStr">
        <is>
          <t>PORTAL AMAZONIA</t>
        </is>
      </c>
      <c r="E2327" t="inlineStr">
        <is>
          <t>VENEZUELANOS</t>
        </is>
      </c>
      <c r="F2327" t="inlineStr">
        <is>
          <t>CIDADES</t>
        </is>
      </c>
      <c r="G2327" t="inlineStr">
        <is>
          <t>REDAÇÃO</t>
        </is>
      </c>
      <c r="H2327" t="inlineStr">
        <is>
          <t>MUNICÍPIO EM RORAIMA VIVE CRISE PARA DAR ATENDIMENTO A MIGRANTES DA VENEZUELA</t>
        </is>
      </c>
      <c r="I2327" t="inlineStr">
        <is>
          <t>PACARAIMA, EM RORAIMA, NA FRONTEIRA COM A VENEZUELA, TEM 12 MIL HABITANTES, MAS OS SERVIÇOS PÚBLICOS ATENDEM A CINCO VEZES MAIS PESSOAS DO QUE A POPULAÇÃO INTEIRA DO MUNICÍPIO. A ESTIMATIVA É DO PREFEITO JULIANO TORQUATO, QUE PEDE MAIS APOIO DO GOVER</t>
        </is>
      </c>
      <c r="J2327">
        <f>HYPERLINK("https://portalamazonia.com/noticias/cidades/municipio-em-roraima-vive-crise-para-dar-atendimento-a-migrantes-da-venezuela", "URL")</f>
        <v/>
      </c>
      <c r="K2327">
        <f>HYPERLINK("https://raw.githubusercontent.com/marcosmapl/dataset_imigrantes/main/noticias_filtered/portal_amazonia/venezuelanos/2017/11_dez/html/10961.10961_1601.html", "HTML")</f>
        <v/>
      </c>
      <c r="L2327">
        <f>HYPERLINK("https://raw.githubusercontent.com/marcosmapl/dataset_imigrantes/main/noticias_filtered/portal_amazonia/venezuelanos/2017/11_dez/txt/10961.10961_1601.txt", "TXT")</f>
        <v/>
      </c>
    </row>
    <row r="2328">
      <c r="A2328" s="1" t="n">
        <v>2326</v>
      </c>
      <c r="B2328" t="n">
        <v>2017</v>
      </c>
      <c r="C2328" s="2" t="n">
        <v>43090.83013888889</v>
      </c>
      <c r="D2328" t="inlineStr">
        <is>
          <t>A CRITICA</t>
        </is>
      </c>
      <c r="E2328" t="inlineStr">
        <is>
          <t>VENEZUELANOS</t>
        </is>
      </c>
      <c r="F2328" t="inlineStr"/>
      <c r="G2328" t="inlineStr">
        <is>
          <t>JULIO CÉZAR NUNES - AGÊNCIA BRASIL</t>
        </is>
      </c>
      <c r="H2328" t="inlineStr">
        <is>
          <t>MUNICÍPIO EM RORAIMA VIVE CRISE PARA DAR ATENDIMENTO A MIGRANTES DA VENEZUELA</t>
        </is>
      </c>
      <c r="I2328" t="inlineStr">
        <is>
          <t>HÁ DOIS MESES, A PREFEITURA DE PACARAIMA INSTALOU ABRIGO PARA 150 INDÍGENAS VENEZUELANOS DO POVO WARAO. HOJE, ABRIGO JÁ ESTÁ COM 330 INDÍGENAS, MAIS QUE O DOBRO DA CAPACIDADE</t>
        </is>
      </c>
      <c r="J2328">
        <f>HYPERLINK("https://www.acritica.com/municipio-em-roraima-vive-crise-para-dar-atendimento-a-migrantes-da-venezuela-1.206931", "URL")</f>
        <v/>
      </c>
      <c r="K2328">
        <f>HYPERLINK("https://raw.githubusercontent.com/marcosmapl/dataset_imigrantes/main/noticias_filtered/a_critica/venezuelanos/2017/11_dez/html/1.206931_1145.html", "HTML")</f>
        <v/>
      </c>
      <c r="L2328">
        <f>HYPERLINK("https://raw.githubusercontent.com/marcosmapl/dataset_imigrantes/main/noticias_filtered/a_critica/venezuelanos/2017/11_dez/txt/1.206931_1145.txt", "TXT")</f>
        <v/>
      </c>
    </row>
    <row r="2329">
      <c r="A2329" s="1" t="n">
        <v>2327</v>
      </c>
      <c r="B2329" t="n">
        <v>2017</v>
      </c>
      <c r="C2329" s="2" t="n">
        <v>43089.45902777778</v>
      </c>
      <c r="D2329" t="inlineStr">
        <is>
          <t>PORTAL AMAZONIA</t>
        </is>
      </c>
      <c r="E2329" t="inlineStr">
        <is>
          <t>VENEZUELANOS</t>
        </is>
      </c>
      <c r="F2329" t="inlineStr">
        <is>
          <t>CIDADES</t>
        </is>
      </c>
      <c r="G2329" t="inlineStr">
        <is>
          <t>REDAÇÃO</t>
        </is>
      </c>
      <c r="H2329" t="inlineStr">
        <is>
          <t>MPF COBRA AÇÕES DE GOVERNOS PARA AJUDAR ÍNDIOS VENEZUELANOS REFUGIADOS NO PARÁ</t>
        </is>
      </c>
      <c r="I2329" t="inlineStr">
        <is>
          <t>O MINISTÉRIO PÚBLICO FEDERAL (MPF) NOTIFICOU DIVERSAS INSTITUIÇÕES PÚBLICAS COBRANDO A APRESENTAÇÃO DE PLANOS DE TRABALHO DE ASSISTÊNCIA A INDÍGENAS VENEZUELANOS REFUGIADOS NO PARÁ. INTEGRANTES DA ETNIA WARAO PASSARAM A SE DESLOCAR PARA O BRASIL EM R</t>
        </is>
      </c>
      <c r="J2329">
        <f>HYPERLINK("https://portalamazonia.com/noticias/cidades/mpf-cobra-acoes-de-governos-para-ajudar-indios-venezuelanos-refugiados-no-para", "URL")</f>
        <v/>
      </c>
      <c r="K2329">
        <f>HYPERLINK("https://raw.githubusercontent.com/marcosmapl/dataset_imigrantes/main/noticias_filtered/portal_amazonia/venezuelanos/2017/11_dez/html/10904.10904_1394.html", "HTML")</f>
        <v/>
      </c>
      <c r="L2329">
        <f>HYPERLINK("https://raw.githubusercontent.com/marcosmapl/dataset_imigrantes/main/noticias_filtered/portal_amazonia/venezuelanos/2017/11_dez/txt/10904.10904_1394.txt", "TXT")</f>
        <v/>
      </c>
    </row>
    <row r="2330">
      <c r="A2330" s="1" t="n">
        <v>2328</v>
      </c>
      <c r="B2330" t="n">
        <v>2017</v>
      </c>
      <c r="C2330" s="2" t="n">
        <v>43088.44467592592</v>
      </c>
      <c r="D2330" t="inlineStr">
        <is>
          <t>A CRITICA</t>
        </is>
      </c>
      <c r="E2330" t="inlineStr">
        <is>
          <t>VENEZUELANOS</t>
        </is>
      </c>
      <c r="F2330" t="inlineStr">
        <is>
          <t>MANAUS</t>
        </is>
      </c>
      <c r="G2330" t="inlineStr">
        <is>
          <t>ACRITICA.COM*</t>
        </is>
      </c>
      <c r="H2330" t="inlineStr">
        <is>
          <t>VOLUNTÁRIOS BUSCAM DOAÇÕES PARA GARANTIR CEIA DE MORADORES DE RUA EM MANAUS</t>
        </is>
      </c>
      <c r="I2330" t="inlineStr">
        <is>
          <t>PARA GARANTIR UMA CEIA DIGNA A ESSAS PESSOAS, O GRUPO ESPERA ARRECADAR ATÉ O PRÓXIMO SÁBADO (23) DONATIVOS QUE VÃO DESDE ALIMENTOS, PASSANDO POR ROUPAS, CALÇADOS E MATERIAIS DE HIGIENE</t>
        </is>
      </c>
      <c r="J2330">
        <f>HYPERLINK("https://www.acritica.com/manaus/voluntarios-buscam-doac-es-para-garantir-ceia-de-moradores-de-rua-em-manaus-1.207321", "URL")</f>
        <v/>
      </c>
      <c r="K2330">
        <f>HYPERLINK("https://raw.githubusercontent.com/marcosmapl/dataset_imigrantes/main/noticias_filtered/a_critica/venezuelanos/2017/11_dez/html/1.207321_543.html", "HTML")</f>
        <v/>
      </c>
      <c r="L2330">
        <f>HYPERLINK("https://raw.githubusercontent.com/marcosmapl/dataset_imigrantes/main/noticias_filtered/a_critica/venezuelanos/2017/11_dez/txt/1.207321_543.txt", "TXT")</f>
        <v/>
      </c>
    </row>
    <row r="2331">
      <c r="A2331" s="1" t="n">
        <v>2329</v>
      </c>
      <c r="B2331" t="n">
        <v>2017</v>
      </c>
      <c r="C2331" s="2" t="n">
        <v>43087.80972222222</v>
      </c>
      <c r="D2331" t="inlineStr">
        <is>
          <t>PORTAL AMAZONIA</t>
        </is>
      </c>
      <c r="E2331" t="inlineStr">
        <is>
          <t>VENEZUELANOS</t>
        </is>
      </c>
      <c r="F2331" t="inlineStr">
        <is>
          <t>CIDADES</t>
        </is>
      </c>
      <c r="G2331" t="inlineStr">
        <is>
          <t>REDAÇÃO</t>
        </is>
      </c>
      <c r="H2331" t="inlineStr">
        <is>
          <t>AGÊNCIAS DA ONU LANÇAM CAMPANHA CONTRA XENOFOBIA EM RORAIMA</t>
        </is>
      </c>
      <c r="I2331" t="inlineStr">
        <is>
          <t>NOS ÚLTIMOS ANOS, O NORTE DO BRASIL PASSOU A SER O CENTRO DOS DEBATES SOBRE O FENÔMENO DA MIGRAÇÃO NO PAÍS. SEGUNDO O FUNDO DE POPULAÇÃO DAS NAÇÕES UNIDAS (UNFPA), EM 2017, MAIS DE 21 MIL VENEZUELANOS SOLICITARAM REFÚGIO AO GOVERNO BRASILEIRO, SENDO</t>
        </is>
      </c>
      <c r="J2331">
        <f>HYPERLINK("https://portalamazonia.com/noticias/cidades/agencias-da-onu-lancam-campanha-contra-xenofobia-em-roraima", "URL")</f>
        <v/>
      </c>
      <c r="K2331">
        <f>HYPERLINK("https://raw.githubusercontent.com/marcosmapl/dataset_imigrantes/main/noticias_filtered/portal_amazonia/venezuelanos/2017/11_dez/html/10863.10863_1459.html", "HTML")</f>
        <v/>
      </c>
      <c r="L2331">
        <f>HYPERLINK("https://raw.githubusercontent.com/marcosmapl/dataset_imigrantes/main/noticias_filtered/portal_amazonia/venezuelanos/2017/11_dez/txt/10863.10863_1459.txt", "TXT")</f>
        <v/>
      </c>
    </row>
    <row r="2332">
      <c r="A2332" s="1" t="n">
        <v>2330</v>
      </c>
      <c r="B2332" t="n">
        <v>2017</v>
      </c>
      <c r="C2332" s="2" t="n">
        <v>43085.975</v>
      </c>
      <c r="D2332" t="inlineStr">
        <is>
          <t>A CRITICA</t>
        </is>
      </c>
      <c r="E2332" t="inlineStr">
        <is>
          <t>VENEZUELANOS</t>
        </is>
      </c>
      <c r="F2332" t="inlineStr">
        <is>
          <t>ESPORTES</t>
        </is>
      </c>
      <c r="G2332" t="inlineStr">
        <is>
          <t>DENIR SIMPLÍCIO</t>
        </is>
      </c>
      <c r="H2332" t="inlineStr">
        <is>
          <t>APÓS 11 ANOS SEM TÍTULOS, TUFÃO EMPATA COM CDC E CONQUISTA SÉRIE B DO BAREZÃO</t>
        </is>
      </c>
      <c r="I2332" t="inlineStr">
        <is>
          <t>TORCIDA DO SÃO RAIMUNDO INVADIU O GRAMADO PARA FESTEJAR CONQUISTA; DUELO NA ARENA DA AMAZÔNIA TERMINOU SEM GOLS</t>
        </is>
      </c>
      <c r="J2332">
        <f>HYPERLINK("https://www.acritica.com/esportes/apos-11-anos-sem-titulos-tuf-o-empata-com-cdc-e-conquista-serie-b-do-barez-o-1.207434", "URL")</f>
        <v/>
      </c>
      <c r="K2332">
        <f>HYPERLINK("https://raw.githubusercontent.com/marcosmapl/dataset_imigrantes/main/noticias_filtered/a_critica/venezuelanos/2017/11_dez/html/1.207434_755.html", "HTML")</f>
        <v/>
      </c>
      <c r="L2332">
        <f>HYPERLINK("https://raw.githubusercontent.com/marcosmapl/dataset_imigrantes/main/noticias_filtered/a_critica/venezuelanos/2017/11_dez/txt/1.207434_755.txt", "TXT")</f>
        <v/>
      </c>
    </row>
    <row r="2333">
      <c r="A2333" s="1" t="n">
        <v>2331</v>
      </c>
      <c r="B2333" t="n">
        <v>2017</v>
      </c>
      <c r="C2333" s="2" t="n">
        <v>43084.81666666667</v>
      </c>
      <c r="D2333" t="inlineStr">
        <is>
          <t>A CRITICA</t>
        </is>
      </c>
      <c r="E2333" t="inlineStr">
        <is>
          <t>VENEZUELANOS</t>
        </is>
      </c>
      <c r="F2333" t="inlineStr"/>
      <c r="G2333" t="inlineStr">
        <is>
          <t>ANTÔNIO XIMENES</t>
        </is>
      </c>
      <c r="H2333" t="inlineStr">
        <is>
          <t>OITO TONELADAS DE ABACATE ILEGAL VINDAS DA VENEZUELA SÃO APREENDIDAS EM BARREIRA</t>
        </is>
      </c>
      <c r="I2333" t="inlineStr">
        <is>
          <t>FISCALIZAÇÃO MONTADA NA DIVISA DE RORAIMA COM O AMAZONAS IMPEDIU A ENTRADA DO PRODUTO QUE TINHA FORTES INDÍCIOS DE CONTAMINAÇÃO DE PRAGAS</t>
        </is>
      </c>
      <c r="J2333">
        <f>HYPERLINK("https://www.acritica.com/oito-toneladas-de-abacate-ilegal-vindas-da-venezuela-s-o-apreendidas-em-barreira-1.207560", "URL")</f>
        <v/>
      </c>
      <c r="K2333">
        <f>HYPERLINK("https://raw.githubusercontent.com/marcosmapl/dataset_imigrantes/main/noticias_filtered/a_critica/venezuelanos/2017/11_dez/html/1.207560_401.html", "HTML")</f>
        <v/>
      </c>
      <c r="L2333">
        <f>HYPERLINK("https://raw.githubusercontent.com/marcosmapl/dataset_imigrantes/main/noticias_filtered/a_critica/venezuelanos/2017/11_dez/txt/1.207560_401.txt", "TXT")</f>
        <v/>
      </c>
    </row>
    <row r="2334">
      <c r="A2334" s="1" t="n">
        <v>2332</v>
      </c>
      <c r="B2334" t="n">
        <v>2017</v>
      </c>
      <c r="C2334" s="2" t="n">
        <v>43082.6171412037</v>
      </c>
      <c r="D2334" t="inlineStr">
        <is>
          <t>A CRITICA</t>
        </is>
      </c>
      <c r="E2334" t="inlineStr">
        <is>
          <t>AMBOS</t>
        </is>
      </c>
      <c r="F2334" t="inlineStr"/>
      <c r="G2334" t="inlineStr">
        <is>
          <t>ALEX RODRIGUES –  AGÊNCIA BRASIL</t>
        </is>
      </c>
      <c r="H2334" t="inlineStr">
        <is>
          <t>NÚMERO DE IMIGRANTES COM CONTRATO DE TRABALHO FORMAL CAIU 13% NO BRASIL EM 2016</t>
        </is>
      </c>
      <c r="I2334" t="inlineStr">
        <is>
          <t>ALÉM DE AFETAR MILHÕES DE BRASILEIROS QUE, EM ALGUM MOMENTO DOS ÚLTIMOS ANOS, SE VIRAM SEM EMPREGO, A CRISE QUE O BRASIL ATRAVESSA DESDE 2014 ATINGIU TAMBÉM A INSERÇÃO DOS ESTRANGEIROS NO MERCADO</t>
        </is>
      </c>
      <c r="J2334">
        <f>HYPERLINK("https://www.acritica.com/numero-de-imigrantes-com-contrato-de-trabalho-formal-caiu-13-no-brasil-em-2016-1.175846", "URL")</f>
        <v/>
      </c>
      <c r="K2334">
        <f>HYPERLINK("https://raw.githubusercontent.com/marcosmapl/dataset_imigrantes/main/noticias_filtered/a_critica/ambos/2017/11_dez/html/1.175846_259.html", "HTML")</f>
        <v/>
      </c>
      <c r="L2334">
        <f>HYPERLINK("https://raw.githubusercontent.com/marcosmapl/dataset_imigrantes/main/noticias_filtered/a_critica/ambos/2017/11_dez/txt/1.175846_259.txt", "TXT")</f>
        <v/>
      </c>
    </row>
    <row r="2335">
      <c r="A2335" s="1" t="n">
        <v>2333</v>
      </c>
      <c r="B2335" t="n">
        <v>2017</v>
      </c>
      <c r="C2335" s="2" t="n">
        <v>43081.77916666667</v>
      </c>
      <c r="D2335" t="inlineStr">
        <is>
          <t>PORTAL AMAZONIA</t>
        </is>
      </c>
      <c r="E2335" t="inlineStr">
        <is>
          <t>VENEZUELANOS</t>
        </is>
      </c>
      <c r="F2335" t="inlineStr">
        <is>
          <t>CIDADES</t>
        </is>
      </c>
      <c r="G2335" t="inlineStr">
        <is>
          <t>REDAÇÃO</t>
        </is>
      </c>
      <c r="H2335" t="inlineStr">
        <is>
          <t>CORPO DE ÚLTIMO VENEZUELANO VÍTIMA DE NAUFRÁGIO É ENCONTRADO EM RORAIMA</t>
        </is>
      </c>
      <c r="I2335" t="inlineStr">
        <is>
          <t>O CORPO DO ÚLTIMO DOS TRÊS VENEZUELANOS QUE HAVIAM DESAPARECIDO EM UM NAUFRÁGIO NO DOMINGO (10) EM BOA VISTA (RR) FOI ENCONTRADO NESTA TERÇA-FEIRA (12). O ACIDENTE ACONTECEU NO RIO BRANCO E O HOMEM FOI ENCONTRADO POR VOLTA DAS 10H. AS BUSCAS FORAM EN</t>
        </is>
      </c>
      <c r="J2335">
        <f>HYPERLINK("https://portalamazonia.com/noticias/cidades/corpo-de-ultimo-venezuelano-vitima-de-naufragio-e-encontrado-em-roraima", "URL")</f>
        <v/>
      </c>
      <c r="K2335">
        <f>HYPERLINK("https://raw.githubusercontent.com/marcosmapl/dataset_imigrantes/main/noticias_filtered/portal_amazonia/venezuelanos/2017/11_dez/html/10737.25809_1569.html", "HTML")</f>
        <v/>
      </c>
      <c r="L2335">
        <f>HYPERLINK("https://raw.githubusercontent.com/marcosmapl/dataset_imigrantes/main/noticias_filtered/portal_amazonia/venezuelanos/2017/11_dez/txt/10737.25809_1569.txt", "TXT")</f>
        <v/>
      </c>
    </row>
    <row r="2336">
      <c r="A2336" s="1" t="n">
        <v>2334</v>
      </c>
      <c r="B2336" t="n">
        <v>2017</v>
      </c>
      <c r="C2336" s="2" t="n">
        <v>43080.47222222222</v>
      </c>
      <c r="D2336" t="inlineStr">
        <is>
          <t>PORTAL AMAZONIA</t>
        </is>
      </c>
      <c r="E2336" t="inlineStr">
        <is>
          <t>VENEZUELANOS</t>
        </is>
      </c>
      <c r="F2336" t="inlineStr">
        <is>
          <t>CIDADES</t>
        </is>
      </c>
      <c r="G2336" t="inlineStr">
        <is>
          <t>REDAÇÃO</t>
        </is>
      </c>
      <c r="H2336" t="inlineStr">
        <is>
          <t>DOMINGO DE NAUFRÁGIOS DE EMBARCAÇÕES EM RIOS NO AMAZONAS E RORAIMA</t>
        </is>
      </c>
      <c r="I2336" t="inlineStr">
        <is>
          <t>A EMBARCAÇÃO NOSSA SENHORA DO ROSÁRIO, QUE VINHA DA CIDADE DE MAUÉS (DISTANTE 356 QUILÔMETROS DE MANAUS) NAUFRAGOU NA TARDE DESTE DOMINGO (10) NO RIO AMAZONAS, PRÓXIMO DA ILHA DO RISCO, NO MUNICÍPIO DE URUCURITUBA, NO AMAZONAS. SEGUNDO INFO</t>
        </is>
      </c>
      <c r="J2336">
        <f>HYPERLINK("https://portalamazonia.com/noticias/cidades/domingo-de-naufragios-de-embarcacoes-em-rios-no-amazonas-e-roraima", "URL")</f>
        <v/>
      </c>
      <c r="K2336">
        <f>HYPERLINK("https://raw.githubusercontent.com/marcosmapl/dataset_imigrantes/main/noticias_filtered/portal_amazonia/venezuelanos/2017/11_dez/html/10681.10681_1483.html", "HTML")</f>
        <v/>
      </c>
      <c r="L2336">
        <f>HYPERLINK("https://raw.githubusercontent.com/marcosmapl/dataset_imigrantes/main/noticias_filtered/portal_amazonia/venezuelanos/2017/11_dez/txt/10681.10681_1483.txt", "TXT")</f>
        <v/>
      </c>
    </row>
    <row r="2337">
      <c r="A2337" s="1" t="n">
        <v>2335</v>
      </c>
      <c r="B2337" t="n">
        <v>2017</v>
      </c>
      <c r="C2337" s="2" t="n">
        <v>43078.69722222222</v>
      </c>
      <c r="D2337" t="inlineStr">
        <is>
          <t>A CRITICA</t>
        </is>
      </c>
      <c r="E2337" t="inlineStr">
        <is>
          <t>VENEZUELANOS</t>
        </is>
      </c>
      <c r="F2337" t="inlineStr"/>
      <c r="G2337" t="inlineStr">
        <is>
          <t>RENATA MARTINS - AGÊNCIA BRASIL</t>
        </is>
      </c>
      <c r="H2337" t="inlineStr">
        <is>
          <t>RORAIMA FICA EM ESTADO DE ALERTA PARA SARAMPO DEVIDO A SURTO NA VENEZUELA</t>
        </is>
      </c>
      <c r="I2337" t="inlineStr">
        <is>
          <t>O MINISTÉRIO DA SAÚDE INFORMOU QUE ESTÁ VACINANDO OS VENEZUELANOS ABRIGADOS EM RORAIMA E NO AMAZONAS</t>
        </is>
      </c>
      <c r="J2337">
        <f>HYPERLINK("https://www.acritica.com/roraima-fica-em-estado-de-alerta-para-sarampo-devido-a-surto-na-venezuela-1.208061", "URL")</f>
        <v/>
      </c>
      <c r="K2337">
        <f>HYPERLINK("https://raw.githubusercontent.com/marcosmapl/dataset_imigrantes/main/noticias_filtered/a_critica/venezuelanos/2017/11_dez/html/1.208061_1122.html", "HTML")</f>
        <v/>
      </c>
      <c r="L2337">
        <f>HYPERLINK("https://raw.githubusercontent.com/marcosmapl/dataset_imigrantes/main/noticias_filtered/a_critica/venezuelanos/2017/11_dez/txt/1.208061_1122.txt", "TXT")</f>
        <v/>
      </c>
    </row>
    <row r="2338">
      <c r="A2338" s="1" t="n">
        <v>2336</v>
      </c>
      <c r="B2338" t="n">
        <v>2017</v>
      </c>
      <c r="C2338" s="2" t="n">
        <v>43077.59652777778</v>
      </c>
      <c r="D2338" t="inlineStr">
        <is>
          <t>PORTAL AMAZONIA</t>
        </is>
      </c>
      <c r="E2338" t="inlineStr">
        <is>
          <t>VENEZUELANOS</t>
        </is>
      </c>
      <c r="F2338" t="inlineStr">
        <is>
          <t>CIDADES</t>
        </is>
      </c>
      <c r="G2338" t="inlineStr">
        <is>
          <t>REDAÇÃO</t>
        </is>
      </c>
      <c r="H2338" t="inlineStr">
        <is>
          <t>RORAIMA DECRETA SITUAÇÃO DE EMERGÊNCIA SOCIAL POR IMIGRAÇÃO DE VENEZUELANOS</t>
        </is>
      </c>
      <c r="I2338" t="inlineStr">
        <is>
          <t>O GOVERNO DE RORAIMA DECRETOU SITUAÇÃO DE EMERGÊNCIA SOCIAL POR CAUSA DO PROCESSO DE IMIGRAÇÃO DE VENEZUELANOS. O DECRETO FOI PUBLICADO NO DIÁRIO OFICIAL DO ESTADO DO DIA 4 DE DEZEMBRO, COM PORTARIA ASSINADA PELA GOVERNADORA DO ESTADO SUELY CAMPOS (P</t>
        </is>
      </c>
      <c r="J2338">
        <f>HYPERLINK("https://portalamazonia.com/noticias/cidades/roraima-decreta-situacao-de-emergencia-social-por-imigracao-de-venezuelanos", "URL")</f>
        <v/>
      </c>
      <c r="K2338">
        <f>HYPERLINK("https://raw.githubusercontent.com/marcosmapl/dataset_imigrantes/main/noticias_filtered/portal_amazonia/venezuelanos/2017/11_dez/html/10672.25815_1386.html", "HTML")</f>
        <v/>
      </c>
      <c r="L2338">
        <f>HYPERLINK("https://raw.githubusercontent.com/marcosmapl/dataset_imigrantes/main/noticias_filtered/portal_amazonia/venezuelanos/2017/11_dez/txt/10672.25815_1386.txt", "TXT")</f>
        <v/>
      </c>
    </row>
    <row r="2339">
      <c r="A2339" s="1" t="n">
        <v>2337</v>
      </c>
      <c r="B2339" t="n">
        <v>2017</v>
      </c>
      <c r="C2339" s="2" t="n">
        <v>43076.57916666667</v>
      </c>
      <c r="D2339" t="inlineStr">
        <is>
          <t>PORTAL AMAZONIA</t>
        </is>
      </c>
      <c r="E2339" t="inlineStr">
        <is>
          <t>VENEZUELANOS</t>
        </is>
      </c>
      <c r="F2339" t="inlineStr">
        <is>
          <t>CIDADES</t>
        </is>
      </c>
      <c r="G2339" t="inlineStr">
        <is>
          <t>REDAÇÃO</t>
        </is>
      </c>
      <c r="H2339" t="inlineStr">
        <is>
          <t>RORAIMA DECRETA SITUAÇÃO DE EMERGÊNCIA DEVIDO IMIGRAÇÃO VENEZUELANA</t>
        </is>
      </c>
      <c r="I2339" t="inlineStr">
        <is>
          <t>O ESTADO DE RORAIMA ESTÁ EM SITUAÇÃO DE EMERGÊNCIA SOCIAL POR CAUSA DO GRANDE NÚMERO DE IMIGRANTES VENEZUELANOS QUE CHEGAM DIARIAMENTE AO ESTADO. O DECRETO FOI PUBLICADO NA EDIÇÃO DA ÚLTIMA QUARTA-FEIRA (7) DO DIÁRIO OFICIAL DO ESTADO.DE ACORDO COM R</t>
        </is>
      </c>
      <c r="J2339">
        <f>HYPERLINK("https://portalamazonia.com/noticias/cidades/roraima-decreta-situacao-de-emergencia-devido-imigracao-venezuelana", "URL")</f>
        <v/>
      </c>
      <c r="K2339">
        <f>HYPERLINK("https://raw.githubusercontent.com/marcosmapl/dataset_imigrantes/main/noticias_filtered/portal_amazonia/venezuelanos/2017/11_dez/html/10641.10641_1565.html", "HTML")</f>
        <v/>
      </c>
      <c r="L2339">
        <f>HYPERLINK("https://raw.githubusercontent.com/marcosmapl/dataset_imigrantes/main/noticias_filtered/portal_amazonia/venezuelanos/2017/11_dez/txt/10641.10641_1565.txt", "TXT")</f>
        <v/>
      </c>
    </row>
    <row r="2340">
      <c r="A2340" s="1" t="n">
        <v>2338</v>
      </c>
      <c r="B2340" t="n">
        <v>2017</v>
      </c>
      <c r="C2340" s="2" t="n">
        <v>43071.52013888889</v>
      </c>
      <c r="D2340" t="inlineStr">
        <is>
          <t>A CRITICA</t>
        </is>
      </c>
      <c r="E2340" t="inlineStr">
        <is>
          <t>VENEZUELANOS</t>
        </is>
      </c>
      <c r="F2340" t="inlineStr">
        <is>
          <t>MANAUS</t>
        </is>
      </c>
      <c r="G2340" t="inlineStr">
        <is>
          <t>ALIK MENEZES</t>
        </is>
      </c>
      <c r="H2340" t="inlineStr">
        <is>
          <t>INDÍGENAS VENEZUELANOS TEMEM O FECHAMENTO DE ABRIGO PROVISÓRIO EM MANAUS</t>
        </is>
      </c>
      <c r="I2340" t="inlineStr">
        <is>
          <t>PRAZO EMERGENCIAL PARA MANUTENÇÃO DO ACOLHIMENTO NO BAIRRO COROADO ENCERRA NESTE MÊS. GOVERNO E MPF SOLICITARAM RECURSOS DO MINISTÉRIO DO DESENVOLVIMENTO SOCIAL</t>
        </is>
      </c>
      <c r="J2340">
        <f>HYPERLINK("https://www.acritica.com/manaus/indigenas-venezuelanos-temem-o-fechamento-de-abrigo-provisorio-em-manaus-1.175450", "URL")</f>
        <v/>
      </c>
      <c r="K2340">
        <f>HYPERLINK("https://raw.githubusercontent.com/marcosmapl/dataset_imigrantes/main/noticias_filtered/a_critica/venezuelanos/2017/11_dez/html/1.175450_749.html", "HTML")</f>
        <v/>
      </c>
      <c r="L2340">
        <f>HYPERLINK("https://raw.githubusercontent.com/marcosmapl/dataset_imigrantes/main/noticias_filtered/a_critica/venezuelanos/2017/11_dez/txt/1.175450_749.txt", "TXT")</f>
        <v/>
      </c>
    </row>
    <row r="2341">
      <c r="A2341" s="1" t="n">
        <v>2339</v>
      </c>
      <c r="B2341" t="n">
        <v>2017</v>
      </c>
      <c r="C2341" s="2" t="n">
        <v>43070.85972222222</v>
      </c>
      <c r="D2341" t="inlineStr">
        <is>
          <t>PORTAL AMAZONIA</t>
        </is>
      </c>
      <c r="E2341" t="inlineStr">
        <is>
          <t>VENEZUELANOS</t>
        </is>
      </c>
      <c r="F2341" t="inlineStr">
        <is>
          <t>CIDADES</t>
        </is>
      </c>
      <c r="G2341" t="inlineStr">
        <is>
          <t>REDAÇÃO</t>
        </is>
      </c>
      <c r="H2341" t="inlineStr">
        <is>
          <t>EM MANAUS, ABRIGO PARA INDÍGENAS DA VENEZUELA SERÁ FECHADO</t>
        </is>
      </c>
      <c r="I2341" t="inlineStr">
        <is>
          <t>O ABRIGO DE ACOLHIMENTO PROVISÓRIO PARA INDÍGENAS VENEZUELANOS QUE ESTÃO EM MANAUS DEVE FECHAR ATÉ O FIM DO ANO. SEGUNDO INFORMAÇÕES SÃO DO G1 AMAZONAS, AS FAMÍLIAS SERÃO ENCAMINHADAS PARA ESPAÇOS ESCOLHIDOS PELA PREFEITURA DE MANAUS. ATUALMENTE, 115</t>
        </is>
      </c>
      <c r="J2341">
        <f>HYPERLINK("https://portalamazonia.com/noticias/cidades/em-manaus-abrigo-para-indigenas-da-venezuela-sera-fechado", "URL")</f>
        <v/>
      </c>
      <c r="K2341">
        <f>HYPERLINK("https://raw.githubusercontent.com/marcosmapl/dataset_imigrantes/main/noticias_filtered/portal_amazonia/venezuelanos/2017/11_dez/html/10540.10540_1545.html", "HTML")</f>
        <v/>
      </c>
      <c r="L2341">
        <f>HYPERLINK("https://raw.githubusercontent.com/marcosmapl/dataset_imigrantes/main/noticias_filtered/portal_amazonia/venezuelanos/2017/11_dez/txt/10540.10540_1545.txt", "TXT")</f>
        <v/>
      </c>
    </row>
    <row r="2342">
      <c r="A2342" s="1" t="n">
        <v>2340</v>
      </c>
      <c r="B2342" t="n">
        <v>2017</v>
      </c>
      <c r="C2342" s="2" t="n">
        <v>43070.53819444445</v>
      </c>
      <c r="D2342" t="inlineStr">
        <is>
          <t>PORTAL AMAZONIA</t>
        </is>
      </c>
      <c r="E2342" t="inlineStr">
        <is>
          <t>VENEZUELANOS</t>
        </is>
      </c>
      <c r="F2342" t="inlineStr">
        <is>
          <t>CIDADES</t>
        </is>
      </c>
      <c r="G2342" t="inlineStr">
        <is>
          <t>REDAÇÃO</t>
        </is>
      </c>
      <c r="H2342" t="inlineStr">
        <is>
          <t>ABRIGO PARA INDÍGENAS VENEZUELANOS EM MANAUS DEVE SER FECHADO ESTE MÊS</t>
        </is>
      </c>
      <c r="I2342" t="inlineStr">
        <is>
          <t>O ABRIGO MANTIDO PELO GOVERNO DO AMAZONAS, QUE ACOLHE PROVISORIAMENTE OS INDÍGENAS VENEZUELANOS EM MANAUS (AM), DEVE SER FECHADO ATÉ O FINAL DE DEZEMBRO. A PARTIR DE 2018, AS FAMÍLIAS SERÃO TRANSFERIDAS PARA ESPAÇOS ALUGADOS PELA PREFEITURA, SEGUNDO</t>
        </is>
      </c>
      <c r="J2342">
        <f>HYPERLINK("https://portalamazonia.com/noticias/cidades/abrigo-para-indigenas-venezuelanos-em-manaus-deve-ser-fechado-este-mes", "URL")</f>
        <v/>
      </c>
      <c r="K2342">
        <f>HYPERLINK("https://raw.githubusercontent.com/marcosmapl/dataset_imigrantes/main/noticias_filtered/portal_amazonia/venezuelanos/2017/11_dez/html/10519.25824_1589.html", "HTML")</f>
        <v/>
      </c>
      <c r="L2342">
        <f>HYPERLINK("https://raw.githubusercontent.com/marcosmapl/dataset_imigrantes/main/noticias_filtered/portal_amazonia/venezuelanos/2017/11_dez/txt/10519.25824_1589.txt", "TXT")</f>
        <v/>
      </c>
    </row>
    <row r="2343">
      <c r="A2343" s="1" t="n">
        <v>2341</v>
      </c>
      <c r="B2343" t="n">
        <v>2017</v>
      </c>
      <c r="C2343" s="2" t="n">
        <v>43067.70416666667</v>
      </c>
      <c r="D2343" t="inlineStr">
        <is>
          <t>PORTAL AMAZONIA</t>
        </is>
      </c>
      <c r="E2343" t="inlineStr">
        <is>
          <t>VENEZUELANOS</t>
        </is>
      </c>
      <c r="F2343" t="inlineStr">
        <is>
          <t>CIDADES</t>
        </is>
      </c>
      <c r="G2343" t="inlineStr">
        <is>
          <t>REDAÇÃO</t>
        </is>
      </c>
      <c r="H2343" t="inlineStr">
        <is>
          <t>SUPERLOTAÇÃO DE VENEZUELANOS AFETA ABRIGO E ESCOLAS DE BOA VISTA</t>
        </is>
      </c>
      <c r="I2343" t="inlineStr">
        <is>
          <t>O ABRIGO PARA IMIGRANTES EM PACARAIMA (DISTANTE A 213 QUILÔMETROS DE BOA VISTA) NÃO ESTÁ MAIS RECEBENDO NINGUÉM. SEGUNDO INFORMAÇÕES DO G1 RORAIMA, O LOCAL ESTÁ SUPERLOTADO. AO TODO, 248 ÍNDIOS VENEZUELANOS DIVIDEM O ESPAÇO QUE FOI INAUGURADO NO DIA</t>
        </is>
      </c>
      <c r="J2343">
        <f>HYPERLINK("https://portalamazonia.com/noticias/cidades/superlotacao-de-venezuelanos-afeta-abrigo-e-escolas-de-boa-vista", "URL")</f>
        <v/>
      </c>
      <c r="K2343">
        <f>HYPERLINK("https://raw.githubusercontent.com/marcosmapl/dataset_imigrantes/main/noticias_filtered/portal_amazonia/venezuelanos/2017/10_nov/html/10464.10464_1464.html", "HTML")</f>
        <v/>
      </c>
      <c r="L2343">
        <f>HYPERLINK("https://raw.githubusercontent.com/marcosmapl/dataset_imigrantes/main/noticias_filtered/portal_amazonia/venezuelanos/2017/10_nov/txt/10464.10464_1464.txt", "TXT")</f>
        <v/>
      </c>
    </row>
    <row r="2344">
      <c r="A2344" s="1" t="n">
        <v>2342</v>
      </c>
      <c r="B2344" t="n">
        <v>2017</v>
      </c>
      <c r="C2344" s="2" t="n">
        <v>43066.41458333333</v>
      </c>
      <c r="D2344" t="inlineStr">
        <is>
          <t>A CRITICA</t>
        </is>
      </c>
      <c r="E2344" t="inlineStr">
        <is>
          <t>HAITIANOS</t>
        </is>
      </c>
      <c r="F2344" t="inlineStr">
        <is>
          <t>MANAUS</t>
        </is>
      </c>
      <c r="G2344" t="inlineStr">
        <is>
          <t>JOANA QUEIROZ</t>
        </is>
      </c>
      <c r="H2344" t="inlineStr">
        <is>
          <t>INSEGURANÇA AFASTA FREQUENTADORES DOS ESPAÇOS PÚBLICOS DE LAZER EM MANAUS</t>
        </is>
      </c>
      <c r="I2344" t="inlineStr">
        <is>
          <t>FORAM REGISTRADAS 240 OCORRÊNCIAS EM PRAÇAS DA CAPITAL ATÉ OUTUBRO DE 2017, SEGUNDO A SECRETARIA DE SEGURANÇA PÚBLICA DO AMAZONAS (SSP-AM)</t>
        </is>
      </c>
      <c r="J2344">
        <f>HYPERLINK("https://www.acritica.com/manaus/inseguranca-afasta-frequentadores-dos-espacos-publicos-de-lazer-em-manaus-1.174412", "URL")</f>
        <v/>
      </c>
      <c r="K2344">
        <f>HYPERLINK("https://raw.githubusercontent.com/marcosmapl/dataset_imigrantes/main/noticias_filtered/a_critica/haitianos/2017/10_nov/html/1.174412_735.html", "HTML")</f>
        <v/>
      </c>
      <c r="L2344">
        <f>HYPERLINK("https://raw.githubusercontent.com/marcosmapl/dataset_imigrantes/main/noticias_filtered/a_critica/haitianos/2017/10_nov/txt/1.174412_735.txt", "TXT")</f>
        <v/>
      </c>
    </row>
    <row r="2345">
      <c r="A2345" s="1" t="n">
        <v>2343</v>
      </c>
      <c r="B2345" t="n">
        <v>2017</v>
      </c>
      <c r="C2345" s="2" t="n">
        <v>43065.65555555555</v>
      </c>
      <c r="D2345" t="inlineStr">
        <is>
          <t>A CRITICA</t>
        </is>
      </c>
      <c r="E2345" t="inlineStr">
        <is>
          <t>VENEZUELANOS</t>
        </is>
      </c>
      <c r="F2345" t="inlineStr">
        <is>
          <t>POLICIA</t>
        </is>
      </c>
      <c r="G2345" t="inlineStr">
        <is>
          <t>DANI BRITO</t>
        </is>
      </c>
      <c r="H2345" t="inlineStr">
        <is>
          <t>VENEZUELANAS SÃO PRESAS SUSPEITAS DE FURTAR OBJETOS DE RESIDÊNCIA NA PONTA NEGRA</t>
        </is>
      </c>
      <c r="I2345" t="inlineStr">
        <is>
          <t>COM AS DUAS MULHERES FORAM APREENDIDAS TRÊS MALAS CONTENDO OBJETOS DA CASA, UMA BOLSA E A QUANTIA DE R$650.</t>
        </is>
      </c>
      <c r="J2345">
        <f>HYPERLINK("https://www.acritica.com/policia/venezuelanas-s-o-presas-suspeitas-de-furtar-objetos-de-residencia-na-ponta-negra-1.174457", "URL")</f>
        <v/>
      </c>
      <c r="K2345">
        <f>HYPERLINK("https://raw.githubusercontent.com/marcosmapl/dataset_imigrantes/main/noticias_filtered/a_critica/venezuelanos/2017/10_nov/html/1.174457_516.html", "HTML")</f>
        <v/>
      </c>
      <c r="L2345">
        <f>HYPERLINK("https://raw.githubusercontent.com/marcosmapl/dataset_imigrantes/main/noticias_filtered/a_critica/venezuelanos/2017/10_nov/txt/1.174457_516.txt", "TXT")</f>
        <v/>
      </c>
    </row>
    <row r="2346">
      <c r="A2346" s="1" t="n">
        <v>2344</v>
      </c>
      <c r="B2346" t="n">
        <v>2017</v>
      </c>
      <c r="C2346" s="2" t="n">
        <v>43062.83333333334</v>
      </c>
      <c r="D2346" t="inlineStr">
        <is>
          <t>A CRITICA</t>
        </is>
      </c>
      <c r="E2346" t="inlineStr">
        <is>
          <t>HAITIANOS</t>
        </is>
      </c>
      <c r="F2346" t="inlineStr">
        <is>
          <t>MANAUS</t>
        </is>
      </c>
      <c r="G2346" t="inlineStr">
        <is>
          <t>OSWALDO NETO</t>
        </is>
      </c>
      <c r="H2346" t="inlineStr">
        <is>
          <t>VOLUNTÁRIOS ACELERAM CAMPANHAS DE DOAÇÕES PARA O NATAL DE PESSOAS CARENTES</t>
        </is>
      </c>
      <c r="I2346" t="inlineStr">
        <is>
          <t>AÇÕES ARRECADAM BRINQUEDOS, ROUPAS, CESTAS BÁSICAS E ATÉ KITS DE LIMPEZA; CONHEÇA TRÊS DELAS QUE ESTÃO RECEBENDO DOAÇÕES ATÉ DEZEMBRO</t>
        </is>
      </c>
      <c r="J2346">
        <f>HYPERLINK("https://www.acritica.com/manaus/voluntarios-aceleram-campanhas-de-doac-es-para-o-natal-de-pessoas-carentes-1.174079", "URL")</f>
        <v/>
      </c>
      <c r="K2346">
        <f>HYPERLINK("https://raw.githubusercontent.com/marcosmapl/dataset_imigrantes/main/noticias_filtered/a_critica/haitianos/2017/10_nov/html/1.174079_472.html", "HTML")</f>
        <v/>
      </c>
      <c r="L2346">
        <f>HYPERLINK("https://raw.githubusercontent.com/marcosmapl/dataset_imigrantes/main/noticias_filtered/a_critica/haitianos/2017/10_nov/txt/1.174079_472.txt", "TXT")</f>
        <v/>
      </c>
    </row>
    <row r="2347">
      <c r="A2347" s="1" t="n">
        <v>2345</v>
      </c>
      <c r="B2347" t="n">
        <v>2017</v>
      </c>
      <c r="C2347" s="2" t="n">
        <v>43062.29652777778</v>
      </c>
      <c r="D2347" t="inlineStr">
        <is>
          <t>A CRITICA</t>
        </is>
      </c>
      <c r="E2347" t="inlineStr">
        <is>
          <t>VENEZUELANOS</t>
        </is>
      </c>
      <c r="F2347" t="inlineStr">
        <is>
          <t>MANAUS</t>
        </is>
      </c>
      <c r="G2347" t="inlineStr">
        <is>
          <t>ALIK MENEZES</t>
        </is>
      </c>
      <c r="H2347" t="inlineStr">
        <is>
          <t>FLANELINHAS SEGUEM ‘LIVRES’ PARA ATUAR EM MANAUS; CONDUTORES RECLAMAM DE AMEAÇAS</t>
        </is>
      </c>
      <c r="I2347" t="inlineStr">
        <is>
          <t>NO CASO DOS LIMPADORES DE VIDRO, A PROIBIÇÃO DA “ATIVIDADE” FOI TOMADA APÓS CASOS DE VIOLÊNCIA E AGRESSÕES REGISTRADAS RECENTEMENTE</t>
        </is>
      </c>
      <c r="J2347">
        <f>HYPERLINK("https://www.acritica.com/manaus/flanelinhas-seguem-livres-para-atuar-em-manaus-condutores-reclamam-de-ameacas-1.100281", "URL")</f>
        <v/>
      </c>
      <c r="K2347">
        <f>HYPERLINK("https://raw.githubusercontent.com/marcosmapl/dataset_imigrantes/main/noticias_filtered/a_critica/venezuelanos/2017/10_nov/html/1.100281_64.html", "HTML")</f>
        <v/>
      </c>
      <c r="L2347">
        <f>HYPERLINK("https://raw.githubusercontent.com/marcosmapl/dataset_imigrantes/main/noticias_filtered/a_critica/venezuelanos/2017/10_nov/txt/1.100281_64.txt", "TXT")</f>
        <v/>
      </c>
    </row>
    <row r="2348">
      <c r="A2348" s="1" t="n">
        <v>2346</v>
      </c>
      <c r="B2348" t="n">
        <v>2017</v>
      </c>
      <c r="C2348" s="2" t="n">
        <v>43057.77708333333</v>
      </c>
      <c r="D2348" t="inlineStr">
        <is>
          <t>A CRITICA</t>
        </is>
      </c>
      <c r="E2348" t="inlineStr">
        <is>
          <t>HAITIANOS</t>
        </is>
      </c>
      <c r="F2348" t="inlineStr">
        <is>
          <t>MANAUS</t>
        </is>
      </c>
      <c r="G2348" t="inlineStr">
        <is>
          <t>SILANE SOUZA</t>
        </is>
      </c>
      <c r="H2348" t="inlineStr">
        <is>
          <t>EM MENOS DE 24 HORAS, NOVO TIROTEIO ACONTECE NO CENTRO DE MANAUS; SUSPEITO FOI BALEADO</t>
        </is>
      </c>
      <c r="I2348" t="inlineStr">
        <is>
          <t>O ÚLTIMO INCIDENTE ACONTECEU POR VOLTA DE 15H DESTE SÁBADO (18), NA RUA LOBO D'ALMADA, NO CENTRO, NA ZONA SUL</t>
        </is>
      </c>
      <c r="J2348">
        <f>HYPERLINK("https://www.acritica.com/manaus/em-menos-de-24-horas-novo-tiroteio-acontece-no-centro-de-manaus-suspeito-foi-baleado-1.173603", "URL")</f>
        <v/>
      </c>
      <c r="K2348">
        <f>HYPERLINK("https://raw.githubusercontent.com/marcosmapl/dataset_imigrantes/main/noticias_filtered/a_critica/haitianos/2017/10_nov/html/1.173603_458.html", "HTML")</f>
        <v/>
      </c>
      <c r="L2348">
        <f>HYPERLINK("https://raw.githubusercontent.com/marcosmapl/dataset_imigrantes/main/noticias_filtered/a_critica/haitianos/2017/10_nov/txt/1.173603_458.txt", "TXT")</f>
        <v/>
      </c>
    </row>
    <row r="2349">
      <c r="A2349" s="1" t="n">
        <v>2347</v>
      </c>
      <c r="B2349" t="n">
        <v>2017</v>
      </c>
      <c r="C2349" s="2" t="n">
        <v>43056.82083333333</v>
      </c>
      <c r="D2349" t="inlineStr">
        <is>
          <t>A CRITICA</t>
        </is>
      </c>
      <c r="E2349" t="inlineStr">
        <is>
          <t>HAITIANOS</t>
        </is>
      </c>
      <c r="F2349" t="inlineStr">
        <is>
          <t>MANAUS</t>
        </is>
      </c>
      <c r="G2349" t="inlineStr">
        <is>
          <t>FÁBIO OLIVEIRA</t>
        </is>
      </c>
      <c r="H2349" t="inlineStr">
        <is>
          <t>TROCA DE TIROS NA PRAÇA DA MATRIZ TERMINA COM TRÊS PESSOAS BALEADAS NO CENTRO</t>
        </is>
      </c>
      <c r="I2349" t="inlineStr">
        <is>
          <t>À POLÍCIA, POPULARES INFORMARAM QUE UMA QUARTA PESSOA TAMBÉM TERIA SIDO BALEADA NAS COSTAS, MAS DEIXOU O LOCAL EM UM TÁXI</t>
        </is>
      </c>
      <c r="J2349">
        <f>HYPERLINK("https://www.acritica.com/manaus/troca-de-tiros-na-praca-da-matriz-termina-com-tres-pessoas-baleadas-no-centro-1.100431", "URL")</f>
        <v/>
      </c>
      <c r="K2349">
        <f>HYPERLINK("https://raw.githubusercontent.com/marcosmapl/dataset_imigrantes/main/noticias_filtered/a_critica/haitianos/2017/10_nov/html/1.100431_1089.html", "HTML")</f>
        <v/>
      </c>
      <c r="L2349">
        <f>HYPERLINK("https://raw.githubusercontent.com/marcosmapl/dataset_imigrantes/main/noticias_filtered/a_critica/haitianos/2017/10_nov/txt/1.100431_1089.txt", "TXT")</f>
        <v/>
      </c>
    </row>
    <row r="2350">
      <c r="A2350" s="1" t="n">
        <v>2348</v>
      </c>
      <c r="B2350" t="n">
        <v>2017</v>
      </c>
      <c r="C2350" s="2" t="n">
        <v>43052.41666666666</v>
      </c>
      <c r="D2350" t="inlineStr">
        <is>
          <t>PORTAL AMAZONIA</t>
        </is>
      </c>
      <c r="E2350" t="inlineStr">
        <is>
          <t>VENEZUELANOS</t>
        </is>
      </c>
      <c r="F2350" t="inlineStr">
        <is>
          <t>CIDADES</t>
        </is>
      </c>
      <c r="G2350" t="inlineStr">
        <is>
          <t>REDAÇÃO</t>
        </is>
      </c>
      <c r="H2350" t="inlineStr">
        <is>
          <t>AMAZONLOG REFORÇA LAÇO DO BRASIL COM PAÍSES VIZINHOS, DESTACA MINISTRO</t>
        </is>
      </c>
      <c r="I2350" t="inlineStr">
        <is>
          <t>A SIMULAÇÃO DE RESGATE EM SITUAÇÕES DE AJUDA HUMANITÁRIA É O MELHOR CAMINHO PARA REFORÇAR A ATUAÇÃO CONJUNTA DO BRASIL COM PAÍSES VIZINHOS. A AVALIAÇÃO É DO MINISTRO DA DEFESA, RAUL JUNGMANN QUE VISITOU O EXERCÍCIO MULTINACIONAL DE SIMULAÇÃO DE AJUDA</t>
        </is>
      </c>
      <c r="J2350">
        <f>HYPERLINK("https://portalamazonia.com/noticias/cidades/amazonlog-reforca-laco-do-brasil-com-paises-vizinhos-destaca-ministro", "URL")</f>
        <v/>
      </c>
      <c r="K2350">
        <f>HYPERLINK("https://raw.githubusercontent.com/marcosmapl/dataset_imigrantes/main/noticias_filtered/portal_amazonia/venezuelanos/2017/10_nov/html/10219.10219_1398.html", "HTML")</f>
        <v/>
      </c>
      <c r="L2350">
        <f>HYPERLINK("https://raw.githubusercontent.com/marcosmapl/dataset_imigrantes/main/noticias_filtered/portal_amazonia/venezuelanos/2017/10_nov/txt/10219.10219_1398.txt", "TXT")</f>
        <v/>
      </c>
    </row>
    <row r="2351">
      <c r="A2351" s="1" t="n">
        <v>2349</v>
      </c>
      <c r="B2351" t="n">
        <v>2017</v>
      </c>
      <c r="C2351" s="2" t="n">
        <v>43051.72083333333</v>
      </c>
      <c r="D2351" t="inlineStr">
        <is>
          <t>A CRITICA</t>
        </is>
      </c>
      <c r="E2351" t="inlineStr">
        <is>
          <t>VENEZUELANOS</t>
        </is>
      </c>
      <c r="F2351" t="inlineStr">
        <is>
          <t>POLICIA</t>
        </is>
      </c>
      <c r="G2351" t="inlineStr">
        <is>
          <t>DANI BRITO</t>
        </is>
      </c>
      <c r="H2351" t="inlineStr">
        <is>
          <t>HOMEM É PRESO APÓS EFETUAR DISPARO DE ARMA DE FOGO NA FEIRA DO MUTIRÃO, EM MANAUS</t>
        </is>
      </c>
      <c r="I2351" t="inlineStr">
        <is>
          <t>NO MESMO HORÁRIO E LOCAL, DOIS HOMENS FORAM ATINGIDOS POR TIRO, MAS A POLÍCIA NÃO CONFIRMOU RELAÇÃO ENTRE OS DOIS CASOS</t>
        </is>
      </c>
      <c r="J2351">
        <f>HYPERLINK("https://www.acritica.com/policia/homem-e-preso-apos-efetuar-disparo-de-arma-de-fogo-na-feira-do-mutir-o-em-manaus-1.172882", "URL")</f>
        <v/>
      </c>
      <c r="K2351">
        <f>HYPERLINK("https://raw.githubusercontent.com/marcosmapl/dataset_imigrantes/main/noticias_filtered/a_critica/venezuelanos/2017/10_nov/html/1.172882_1029.html", "HTML")</f>
        <v/>
      </c>
      <c r="L2351">
        <f>HYPERLINK("https://raw.githubusercontent.com/marcosmapl/dataset_imigrantes/main/noticias_filtered/a_critica/venezuelanos/2017/10_nov/txt/1.172882_1029.txt", "TXT")</f>
        <v/>
      </c>
    </row>
    <row r="2352">
      <c r="A2352" s="1" t="n">
        <v>2350</v>
      </c>
      <c r="B2352" t="n">
        <v>2017</v>
      </c>
      <c r="C2352" s="2" t="n">
        <v>43051.60300682871</v>
      </c>
      <c r="D2352" t="inlineStr">
        <is>
          <t>G1</t>
        </is>
      </c>
      <c r="E2352" t="inlineStr">
        <is>
          <t>HAITIANOS</t>
        </is>
      </c>
      <c r="F2352" t="inlineStr">
        <is>
          <t>ZONA DA MATA - MG</t>
        </is>
      </c>
      <c r="G2352" t="inlineStr">
        <is>
          <t>G1 ZONA DA MATA</t>
        </is>
      </c>
      <c r="H2352" t="inlineStr">
        <is>
          <t>PROJETO QUE CRIA BASE MISSIONÁRIA NO HAITI É APROVADO EM JUIZ DE FORA</t>
        </is>
      </c>
      <c r="I2352" t="inlineStr">
        <is>
          <t>PLANO DE DIVULGAÇÃO E ATIVIDADES DO PROJETO TAMBÉM FORAM ACERTADOS. DOCUMENTO SERÁ ENVIADO PARA CONSENTIMENTO DE FREIS DA ASSOCIAÇÃO SÃO FRANCISCO DE ASSIS DA PROVIDÊNCIA DE DEUS.</t>
        </is>
      </c>
      <c r="J2352">
        <f>HYPERLINK("https://g1.globo.com/mg/zona-da-mata/noticia/projeto-que-cria-base-missionaria-no-haiti-e-aprovado-em-juiz-de-fora.ghtml", "URL")</f>
        <v/>
      </c>
      <c r="K2352">
        <f>HYPERLINK("https://raw.githubusercontent.com/marcosmapl/dataset_imigrantes/main/noticias_filtered/g1/haitianos/2017/10_nov/html/g1_e6bcbdfa-2328-11ed-b24f-6dbe51e79fca_4088.html", "HTML")</f>
        <v/>
      </c>
      <c r="L2352">
        <f>HYPERLINK("https://raw.githubusercontent.com/marcosmapl/dataset_imigrantes/main/noticias_filtered/g1/haitianos/2017/10_nov/txt/g1_e6bcbdfa-2328-11ed-b24f-6dbe51e79fca_4088.txt", "TXT")</f>
        <v/>
      </c>
    </row>
    <row r="2353">
      <c r="A2353" s="1" t="n">
        <v>2351</v>
      </c>
      <c r="B2353" t="n">
        <v>2017</v>
      </c>
      <c r="C2353" s="2" t="n">
        <v>43051.57986111111</v>
      </c>
      <c r="D2353" t="inlineStr">
        <is>
          <t>A CRITICA</t>
        </is>
      </c>
      <c r="E2353" t="inlineStr">
        <is>
          <t>AMBOS</t>
        </is>
      </c>
      <c r="F2353" t="inlineStr"/>
      <c r="G2353" t="inlineStr">
        <is>
          <t>SILANE SOUZA</t>
        </is>
      </c>
      <c r="H2353" t="inlineStr">
        <is>
          <t>‘NOVOS AMAZONENSES’: IMIGRANTES TENTAM A VIDA NO AM APÓS DEIXAREM PAÍS DE ORIGEM</t>
        </is>
      </c>
      <c r="I2353" t="inlineStr">
        <is>
          <t>HAITIANOS, VENEZUELANOS E PERUANOS ESTÃO ENTRE OS MAIS DE 2,3 MIL IMIGRANTES QUE ENCONTRARAM NO ESTADO UMA OPORTUNIDADE DE RECOMEÇAR A VIDA</t>
        </is>
      </c>
      <c r="J2353">
        <f>HYPERLINK("https://www.acritica.com/novos-amazonenses-imigrantes-tentam-a-vida-no-am-apos-deixarem-pais-de-origem-1.100641", "URL")</f>
        <v/>
      </c>
      <c r="K2353">
        <f>HYPERLINK("https://raw.githubusercontent.com/marcosmapl/dataset_imigrantes/main/noticias_filtered/a_critica/ambos/2017/10_nov/html/1.100641_838.html", "HTML")</f>
        <v/>
      </c>
      <c r="L2353">
        <f>HYPERLINK("https://raw.githubusercontent.com/marcosmapl/dataset_imigrantes/main/noticias_filtered/a_critica/ambos/2017/10_nov/txt/1.100641_838.txt", "TXT")</f>
        <v/>
      </c>
    </row>
    <row r="2354">
      <c r="A2354" s="1" t="n">
        <v>2352</v>
      </c>
      <c r="B2354" t="n">
        <v>2017</v>
      </c>
      <c r="C2354" s="2" t="n">
        <v>43046.45625</v>
      </c>
      <c r="D2354" t="inlineStr">
        <is>
          <t>PORTAL AMAZONIA</t>
        </is>
      </c>
      <c r="E2354" t="inlineStr">
        <is>
          <t>VENEZUELANOS</t>
        </is>
      </c>
      <c r="F2354" t="inlineStr">
        <is>
          <t>CIDADES</t>
        </is>
      </c>
      <c r="G2354" t="inlineStr">
        <is>
          <t>REDAÇÃO</t>
        </is>
      </c>
      <c r="H2354" t="inlineStr">
        <is>
          <t>SECRETARIA PLANEJA ATENDIMENTO PARA IMIGRANTES INDÍGENAS VENEZUELANOS EM MANAUS</t>
        </is>
      </c>
      <c r="I2354" t="inlineStr">
        <is>
          <t>A SECRETARIA MUNICIPAL DA MULHER, ASSISTÊNCIA SOCIAL E DIREITOS HUMANOS (SEMMASDH) DE MANAUS (AM) PLANEJA ESTRATÉGIAS DE ATENDIMENTO PARA IMIGRANTES INDÍGENAS VENEZUELANOS NA CAPITAL AMAZONENSE. A AÇÃO É EM CONJUNTO COM O ALTO COMISSARIADO DAS NAÇÕES</t>
        </is>
      </c>
      <c r="J2354">
        <f>HYPERLINK("https://portalamazonia.com/noticias/cidades/secretaria-planeja-atendimento-para-imigrantes-indigenas-venezuelanos-em-manaus", "URL")</f>
        <v/>
      </c>
      <c r="K2354">
        <f>HYPERLINK("https://raw.githubusercontent.com/marcosmapl/dataset_imigrantes/main/noticias_filtered/portal_amazonia/venezuelanos/2017/10_nov/html/10123.25842_1407.html", "HTML")</f>
        <v/>
      </c>
      <c r="L2354">
        <f>HYPERLINK("https://raw.githubusercontent.com/marcosmapl/dataset_imigrantes/main/noticias_filtered/portal_amazonia/venezuelanos/2017/10_nov/txt/10123.25842_1407.txt", "TXT")</f>
        <v/>
      </c>
    </row>
    <row r="2355">
      <c r="A2355" s="1" t="n">
        <v>2353</v>
      </c>
      <c r="B2355" t="n">
        <v>2017</v>
      </c>
      <c r="C2355" s="2" t="n">
        <v>43045.73501157408</v>
      </c>
      <c r="D2355" t="inlineStr">
        <is>
          <t>A CRITICA</t>
        </is>
      </c>
      <c r="E2355" t="inlineStr">
        <is>
          <t>VENEZUELANOS</t>
        </is>
      </c>
      <c r="F2355" t="inlineStr"/>
      <c r="G2355" t="inlineStr">
        <is>
          <t>DA AGÊNCIA EFE</t>
        </is>
      </c>
      <c r="H2355" t="inlineStr">
        <is>
          <t>DEPUTADOS OPOSITORES SÃO IMPEDIDOS DE ENTRAR NO PARLAMENTO DA VENEZUELA</t>
        </is>
      </c>
      <c r="I2355" t="inlineStr">
        <is>
          <t>A INFORMAÇÃO FOI DADA PELO PARLAMENTO, CONTROLADO PELA OPOSIÇÃO, ATRAVÉS DE UMA MENSAGEM PUBLICADA NO TWITTER</t>
        </is>
      </c>
      <c r="J2355">
        <f>HYPERLINK("https://www.acritica.com/deputados-opositores-s-o-impedidos-de-entrar-no-parlamento-da-venezuela-1.101237", "URL")</f>
        <v/>
      </c>
      <c r="K2355">
        <f>HYPERLINK("https://raw.githubusercontent.com/marcosmapl/dataset_imigrantes/main/noticias_filtered/a_critica/venezuelanos/2017/10_nov/html/1.101237_1134.html", "HTML")</f>
        <v/>
      </c>
      <c r="L2355">
        <f>HYPERLINK("https://raw.githubusercontent.com/marcosmapl/dataset_imigrantes/main/noticias_filtered/a_critica/venezuelanos/2017/10_nov/txt/1.101237_1134.txt", "TXT")</f>
        <v/>
      </c>
    </row>
    <row r="2356">
      <c r="A2356" s="1" t="n">
        <v>2354</v>
      </c>
      <c r="B2356" t="n">
        <v>2017</v>
      </c>
      <c r="C2356" s="2" t="n">
        <v>43042.85277777778</v>
      </c>
      <c r="D2356" t="inlineStr">
        <is>
          <t>A CRITICA</t>
        </is>
      </c>
      <c r="E2356" t="inlineStr">
        <is>
          <t>HAITIANOS</t>
        </is>
      </c>
      <c r="F2356" t="inlineStr"/>
      <c r="G2356" t="inlineStr">
        <is>
          <t>ACRITICA.COM*</t>
        </is>
      </c>
      <c r="H2356" t="inlineStr">
        <is>
          <t>PROGRAMA DE COMBATE À MALÁRIA DE EIRUNEPÉ É ELEITO O MELHOR DAS AMÉRICAS</t>
        </is>
      </c>
      <c r="I2356" t="inlineStr">
        <is>
          <t>EM CINCO ANOS, EIRUNEPÉ CONSEGUIU REDUZIR OS CASOS DA ENDEMIA DE MAIS DE 5,5 MIL OCORRÊNCIAS ANO, PARA POUCO MAIS DE 100. NOS PRIMEIROS OITO MESES DE 2017, O ESTADO DO AMAZONAS REGISTROU MAIS DE 47 MIL CASOS DE MALÁRIA</t>
        </is>
      </c>
      <c r="J2356">
        <f>HYPERLINK("https://www.acritica.com/programa-de-combate-a-malaria-de-eirunepe-e-eleito-o-melhor-das-americas-1.101309", "URL")</f>
        <v/>
      </c>
      <c r="K2356">
        <f>HYPERLINK("https://raw.githubusercontent.com/marcosmapl/dataset_imigrantes/main/noticias_filtered/a_critica/haitianos/2017/10_nov/html/1.101309_1330.html", "HTML")</f>
        <v/>
      </c>
      <c r="L2356">
        <f>HYPERLINK("https://raw.githubusercontent.com/marcosmapl/dataset_imigrantes/main/noticias_filtered/a_critica/haitianos/2017/10_nov/txt/1.101309_1330.txt", "TXT")</f>
        <v/>
      </c>
    </row>
    <row r="2357">
      <c r="A2357" s="1" t="n">
        <v>2355</v>
      </c>
      <c r="B2357" t="n">
        <v>2017</v>
      </c>
      <c r="C2357" s="2" t="n">
        <v>43040.88525462963</v>
      </c>
      <c r="D2357" t="inlineStr">
        <is>
          <t>A CRITICA</t>
        </is>
      </c>
      <c r="E2357" t="inlineStr">
        <is>
          <t>HAITIANOS</t>
        </is>
      </c>
      <c r="F2357" t="inlineStr"/>
      <c r="G2357" t="inlineStr">
        <is>
          <t>ACRITICA.COM*</t>
        </is>
      </c>
      <c r="H2357" t="inlineStr">
        <is>
          <t>PROGRAMA DE COMBATE À MALÁRIA DE EIRUNEPÉ DISPUTA PRÊMIO NOS EUA</t>
        </is>
      </c>
      <c r="I2357" t="inlineStr">
        <is>
          <t>MUNICÍPIO AMAZONENSE É UM DOS TRÊS FINALISTAS DO PROGRAMA DE COMBATE À MALÁRIA CAMPEÃO DAS AMÉRICAS, PROMOVIDO PELA OPAS. EIRUNEPÉ DISPUTA COM O PARQUE NACIONAL DO JAÚ, TAMBÉM DO AMAZONAS, E COM UMA INICIATIVA HAITIANA EM PARCERIA COM A REPÚBLICA DOMINICANA</t>
        </is>
      </c>
      <c r="J2357">
        <f>HYPERLINK("https://www.acritica.com/programa-de-combate-a-malaria-de-eirunepe-disputa-premio-nos-eua-1.102630", "URL")</f>
        <v/>
      </c>
      <c r="K2357">
        <f>HYPERLINK("https://raw.githubusercontent.com/marcosmapl/dataset_imigrantes/main/noticias_filtered/a_critica/haitianos/2017/10_nov/html/1.102630_624.html", "HTML")</f>
        <v/>
      </c>
      <c r="L2357">
        <f>HYPERLINK("https://raw.githubusercontent.com/marcosmapl/dataset_imigrantes/main/noticias_filtered/a_critica/haitianos/2017/10_nov/txt/1.102630_624.txt", "TXT")</f>
        <v/>
      </c>
    </row>
    <row r="2358">
      <c r="A2358" s="1" t="n">
        <v>2356</v>
      </c>
      <c r="B2358" t="n">
        <v>2017</v>
      </c>
      <c r="C2358" s="2" t="n">
        <v>43038.61597222222</v>
      </c>
      <c r="D2358" t="inlineStr">
        <is>
          <t>A CRITICA</t>
        </is>
      </c>
      <c r="E2358" t="inlineStr">
        <is>
          <t>HAITIANOS</t>
        </is>
      </c>
      <c r="F2358" t="inlineStr">
        <is>
          <t>POLICIA</t>
        </is>
      </c>
      <c r="G2358" t="inlineStr">
        <is>
          <t>DANI BRITO</t>
        </is>
      </c>
      <c r="H2358" t="inlineStr">
        <is>
          <t>HAITIANO É PRESO SUSPEITO DE TENTAR ESTUPRAR MULHER DA MESMA NACIONALIDADE EM MANAUS</t>
        </is>
      </c>
      <c r="I2358" t="inlineStr">
        <is>
          <t>SEGUNDO A POLÍCIA, O MARIDO DA VÍTIMA TEM UMA DÍVIDA DE R$ 3 MIL COM O INFRATOR E, POR CONTA DISSO, ELE FOI ATÉ A CASA DELES E TENTOU VIOLENTAR A MULHER</t>
        </is>
      </c>
      <c r="J2358">
        <f>HYPERLINK("https://www.acritica.com/policia/haitiano-e-preso-suspeito-de-tentar-estuprar-mulher-da-mesma-nacionalidade-em-manaus-1.102681", "URL")</f>
        <v/>
      </c>
      <c r="K2358">
        <f>HYPERLINK("https://raw.githubusercontent.com/marcosmapl/dataset_imigrantes/main/noticias_filtered/a_critica/haitianos/2017/09_out/html/1.102681_391.html", "HTML")</f>
        <v/>
      </c>
      <c r="L2358">
        <f>HYPERLINK("https://raw.githubusercontent.com/marcosmapl/dataset_imigrantes/main/noticias_filtered/a_critica/haitianos/2017/09_out/txt/1.102681_391.txt", "TXT")</f>
        <v/>
      </c>
    </row>
    <row r="2359">
      <c r="A2359" s="1" t="n">
        <v>2357</v>
      </c>
      <c r="B2359" t="n">
        <v>2017</v>
      </c>
      <c r="C2359" s="2" t="n">
        <v>43033.78263888889</v>
      </c>
      <c r="D2359" t="inlineStr">
        <is>
          <t>PORTAL AMAZONIA</t>
        </is>
      </c>
      <c r="E2359" t="inlineStr">
        <is>
          <t>VENEZUELANOS</t>
        </is>
      </c>
      <c r="F2359" t="inlineStr">
        <is>
          <t>CIDADES</t>
        </is>
      </c>
      <c r="G2359" t="inlineStr">
        <is>
          <t>REDAÇÃO</t>
        </is>
      </c>
      <c r="H2359" t="inlineStr">
        <is>
          <t>SEM REMÉDIOS NA VENEZUELA, VÍTIMA DE ACIDENTE É TRANSFERIDA PARA RORAIMA</t>
        </is>
      </c>
      <c r="I2359" t="inlineStr">
        <is>
          <t>FOTO:REPRODUÇÃO/REDE AMAZÔNICAA BRASILEIRA EDIELCIS NAHIROBIS GIRON SOARES, DE 32 ANOS, CHEGOU NA NOITE DESTA TERÇA-FEIRA (24) A BOA VISTA. DE ACORDO COM REPORTAGEM PUBLICADA NO G1 RORAIMA, ELA FOI VÍTIMA DE UM ACIDENTE DE CARRO NA VENEZUELA E ESTAVA</t>
        </is>
      </c>
      <c r="J2359">
        <f>HYPERLINK("https://portalamazonia.com/noticias/cidades/sem-remedios-na-venezuela-vitima-de-acidente-e-transferida-para-roraima", "URL")</f>
        <v/>
      </c>
      <c r="K2359">
        <f>HYPERLINK("https://raw.githubusercontent.com/marcosmapl/dataset_imigrantes/main/noticias_filtered/portal_amazonia/venezuelanos/2017/09_out/html/9984.9984_1514.html", "HTML")</f>
        <v/>
      </c>
      <c r="L2359">
        <f>HYPERLINK("https://raw.githubusercontent.com/marcosmapl/dataset_imigrantes/main/noticias_filtered/portal_amazonia/venezuelanos/2017/09_out/txt/9984.9984_1514.txt", "TXT")</f>
        <v/>
      </c>
    </row>
    <row r="2360">
      <c r="A2360" s="1" t="n">
        <v>2358</v>
      </c>
      <c r="B2360" t="n">
        <v>2017</v>
      </c>
      <c r="C2360" s="2" t="n">
        <v>43032.55972222222</v>
      </c>
      <c r="D2360" t="inlineStr">
        <is>
          <t>PORTAL AMAZONIA</t>
        </is>
      </c>
      <c r="E2360" t="inlineStr">
        <is>
          <t>VENEZUELANOS</t>
        </is>
      </c>
      <c r="F2360" t="inlineStr">
        <is>
          <t>CIDADES</t>
        </is>
      </c>
      <c r="G2360" t="inlineStr">
        <is>
          <t>REDAÇÃO</t>
        </is>
      </c>
      <c r="H2360" t="inlineStr">
        <is>
          <t>MANAUS: A CAPITAL DOS REFUGIADOS NA AMAZÔNIA BRASILEIRA</t>
        </is>
      </c>
      <c r="I2360" t="inlineStr">
        <is>
          <t>O ANO DE 2017 NÃO FOI UM ANO FÁCIL PARA OS VENEZUELANOS QUE SE VIRAM OBRIGADOS A DEIXAR O PAÍS DE ORIGEM E BUSCAR REFÚGIO EM OUTRAS NAÇÕES, E UMA DELAS: O BRASIL.FUGINDO DA FOME, EM MEIO À CRISE SOCIOECONÔMICA QUE A VENEZUELA VIVE, DESDE QUE O PAÍS S</t>
        </is>
      </c>
      <c r="J2360">
        <f>HYPERLINK("https://portalamazonia.com/noticias/cidades/manaus-a-capital-dos-refugiados-na-amazonia-brasileira", "URL")</f>
        <v/>
      </c>
      <c r="K2360">
        <f>HYPERLINK("https://raw.githubusercontent.com/marcosmapl/dataset_imigrantes/main/noticias_filtered/portal_amazonia/venezuelanos/2017/09_out/html/9962.9962_1422.html", "HTML")</f>
        <v/>
      </c>
      <c r="L2360">
        <f>HYPERLINK("https://raw.githubusercontent.com/marcosmapl/dataset_imigrantes/main/noticias_filtered/portal_amazonia/venezuelanos/2017/09_out/txt/9962.9962_1422.txt", "TXT")</f>
        <v/>
      </c>
    </row>
    <row r="2361">
      <c r="A2361" s="1" t="n">
        <v>2359</v>
      </c>
      <c r="B2361" t="n">
        <v>2017</v>
      </c>
      <c r="C2361" s="2" t="n">
        <v>43016.99577546296</v>
      </c>
      <c r="D2361" t="inlineStr">
        <is>
          <t>A CRITICA</t>
        </is>
      </c>
      <c r="E2361" t="inlineStr">
        <is>
          <t>HAITIANOS</t>
        </is>
      </c>
      <c r="F2361" t="inlineStr">
        <is>
          <t>OPINIAO</t>
        </is>
      </c>
      <c r="G2361" t="inlineStr"/>
      <c r="H2361" t="inlineStr">
        <is>
          <t>O MONSTRO DA INTOLERÂNCIA</t>
        </is>
      </c>
      <c r="I2361" t="inlineStr"/>
      <c r="J2361">
        <f>HYPERLINK("https://www.acritica.com/opiniao/o-monstro-da-intolerancia-1.225310", "URL")</f>
        <v/>
      </c>
      <c r="K2361">
        <f>HYPERLINK("https://raw.githubusercontent.com/marcosmapl/dataset_imigrantes/main/noticias_filtered/a_critica/haitianos/2017/09_out/html/1.225310_335.html", "HTML")</f>
        <v/>
      </c>
      <c r="L2361">
        <f>HYPERLINK("https://raw.githubusercontent.com/marcosmapl/dataset_imigrantes/main/noticias_filtered/a_critica/haitianos/2017/09_out/txt/1.225310_335.txt", "TXT")</f>
        <v/>
      </c>
    </row>
    <row r="2362">
      <c r="A2362" s="1" t="n">
        <v>2360</v>
      </c>
      <c r="B2362" t="n">
        <v>2017</v>
      </c>
      <c r="C2362" s="2" t="n">
        <v>43016.90059027778</v>
      </c>
      <c r="D2362" t="inlineStr">
        <is>
          <t>A CRITICA</t>
        </is>
      </c>
      <c r="E2362" t="inlineStr">
        <is>
          <t>VENEZUELANOS</t>
        </is>
      </c>
      <c r="F2362" t="inlineStr"/>
      <c r="G2362" t="inlineStr">
        <is>
          <t>ANDREW CAWTHORNE - REUTERS</t>
        </is>
      </c>
      <c r="H2362" t="inlineStr">
        <is>
          <t>NICÓLAS MADURO IRONIZA DONALD TRUMP E O AGRADECE POR FAZÊ-LO “FAMOSO” NO MUNDO TODO</t>
        </is>
      </c>
      <c r="I2362" t="inlineStr">
        <is>
          <t>TRUMP TEM CRITICADO REPETIDAMENTE MADURO E SUA REVOLUÇÃO SOCIALISTA EM PÚBLICO E EM REUNIÕES COM OUTROS CHEFES</t>
        </is>
      </c>
      <c r="J2362">
        <f>HYPERLINK("https://www.acritica.com/nicolas-maduro-ironiza-donald-trump-e-o-agradece-por-faze-lo-famoso-no-mundo-todo-1.78154", "URL")</f>
        <v/>
      </c>
      <c r="K2362">
        <f>HYPERLINK("https://raw.githubusercontent.com/marcosmapl/dataset_imigrantes/main/noticias_filtered/a_critica/venezuelanos/2017/09_out/html/1.78154_213.html", "HTML")</f>
        <v/>
      </c>
      <c r="L2362">
        <f>HYPERLINK("https://raw.githubusercontent.com/marcosmapl/dataset_imigrantes/main/noticias_filtered/a_critica/venezuelanos/2017/09_out/txt/1.78154_213.txt", "TXT")</f>
        <v/>
      </c>
    </row>
    <row r="2363">
      <c r="A2363" s="1" t="n">
        <v>2361</v>
      </c>
      <c r="B2363" t="n">
        <v>2017</v>
      </c>
      <c r="C2363" s="2" t="n">
        <v>43013.5269675926</v>
      </c>
      <c r="D2363" t="inlineStr">
        <is>
          <t>A CRITICA</t>
        </is>
      </c>
      <c r="E2363" t="inlineStr">
        <is>
          <t>VENEZUELANOS</t>
        </is>
      </c>
      <c r="F2363" t="inlineStr">
        <is>
          <t>ESPORTES</t>
        </is>
      </c>
      <c r="G2363" t="inlineStr">
        <is>
          <t>JÉSSICA SANTOS</t>
        </is>
      </c>
      <c r="H2363" t="inlineStr">
        <is>
          <t>CICLISTAS AMAZONENSES VÃO PARTICIPAR DE MAIOR PROVA DE MOUNTAIN BIKE DAS AMÉRICAS</t>
        </is>
      </c>
      <c r="I2363" t="inlineStr">
        <is>
          <t>CÁSSIO STREMEL, JEFFERSON PEREIRA E MARLÚCIA ALMEIDA SE PREPARARAM INTENSAMENTE PARA A PROVA, QUE VAI EXIGIR O MÁXIMO ESFORÇO FÍSICO E MENTAL DOS ATLETAS.</t>
        </is>
      </c>
      <c r="J2363">
        <f>HYPERLINK("https://www.acritica.com/esportes/ciclistas-amazonenses-v-o-participar-de-maior-prova-de-mountain-bike-das-americas-1.79940", "URL")</f>
        <v/>
      </c>
      <c r="K2363">
        <f>HYPERLINK("https://raw.githubusercontent.com/marcosmapl/dataset_imigrantes/main/noticias_filtered/a_critica/venezuelanos/2017/09_out/html/1.79940_927.html", "HTML")</f>
        <v/>
      </c>
      <c r="L2363">
        <f>HYPERLINK("https://raw.githubusercontent.com/marcosmapl/dataset_imigrantes/main/noticias_filtered/a_critica/venezuelanos/2017/09_out/txt/1.79940_927.txt", "TXT")</f>
        <v/>
      </c>
    </row>
    <row r="2364">
      <c r="A2364" s="1" t="n">
        <v>2362</v>
      </c>
      <c r="B2364" t="n">
        <v>2017</v>
      </c>
      <c r="C2364" s="2" t="n">
        <v>43007.99891203704</v>
      </c>
      <c r="D2364" t="inlineStr">
        <is>
          <t>A CRITICA</t>
        </is>
      </c>
      <c r="E2364" t="inlineStr">
        <is>
          <t>VENEZUELANOS</t>
        </is>
      </c>
      <c r="F2364" t="inlineStr">
        <is>
          <t>ESPORTES</t>
        </is>
      </c>
      <c r="G2364" t="inlineStr">
        <is>
          <t>DENIR SIMPLÍCIO</t>
        </is>
      </c>
      <c r="H2364" t="inlineStr">
        <is>
          <t>DO GARIMPO AO RAINHA DO PELADÃO, SAIBA A HISTÓRIA DE UMA GUERREIRA VENEZUELANA</t>
        </is>
      </c>
      <c r="I2364" t="inlineStr">
        <is>
          <t>FUGINDO DA CRISE ECONÔMICA EM SEU PAÍS, A REPRESENTANTE DO NAPOLI MANAUS FC, EVELYN MARQUEZ, SE REFUGIOU NO BRASIL EM BUSCA DE UM FUTURO MELHOR; DEPOIS DE PERDER TUDO EM BUSCA DE OURO, A VENEZUELANA TENTA A SORTE NO CONCURSO DE RAINHAS</t>
        </is>
      </c>
      <c r="J2364">
        <f>HYPERLINK("https://www.acritica.com/esportes/do-garimpo-ao-rainha-do-pelad-o-saiba-a-historia-de-uma-guerreira-venezuelana-1.80615", "URL")</f>
        <v/>
      </c>
      <c r="K2364">
        <f>HYPERLINK("https://raw.githubusercontent.com/marcosmapl/dataset_imigrantes/main/noticias_filtered/a_critica/venezuelanos/2017/08_set/html/1.80615_209.html", "HTML")</f>
        <v/>
      </c>
      <c r="L2364">
        <f>HYPERLINK("https://raw.githubusercontent.com/marcosmapl/dataset_imigrantes/main/noticias_filtered/a_critica/venezuelanos/2017/08_set/txt/1.80615_209.txt", "TXT")</f>
        <v/>
      </c>
    </row>
    <row r="2365">
      <c r="A2365" s="1" t="n">
        <v>2363</v>
      </c>
      <c r="B2365" t="n">
        <v>2017</v>
      </c>
      <c r="C2365" s="2" t="n">
        <v>43004.99652777778</v>
      </c>
      <c r="D2365" t="inlineStr">
        <is>
          <t>A CRITICA</t>
        </is>
      </c>
      <c r="E2365" t="inlineStr">
        <is>
          <t>VENEZUELANOS</t>
        </is>
      </c>
      <c r="F2365" t="inlineStr">
        <is>
          <t>MANAUS</t>
        </is>
      </c>
      <c r="G2365" t="inlineStr">
        <is>
          <t>ALIK MENEZES</t>
        </is>
      </c>
      <c r="H2365" t="inlineStr">
        <is>
          <t>SEMED VAI CONTRATAR INDÍGENAS WARAO SEM FORMAÇÃO PARA ENSINAR CRIANÇAS NOS ABRIGOS</t>
        </is>
      </c>
      <c r="I2365" t="inlineStr">
        <is>
          <t>IDEIA É CRIAR TURMAS PARA OFERECER ENSINO AOS INDÍGENAS, ALÉM DE FORTALECER E PRESERVAR A LÍNGUA E CULTURA MATERNAS</t>
        </is>
      </c>
      <c r="J2365">
        <f>HYPERLINK("https://www.acritica.com/manaus/semed-vai-contratar-indigenas-warao-sem-formac-o-para-ensinar-criancas-nos-abrigos-1.78586", "URL")</f>
        <v/>
      </c>
      <c r="K2365">
        <f>HYPERLINK("https://raw.githubusercontent.com/marcosmapl/dataset_imigrantes/main/noticias_filtered/a_critica/venezuelanos/2017/08_set/html/1.78586_302.html", "HTML")</f>
        <v/>
      </c>
      <c r="L2365">
        <f>HYPERLINK("https://raw.githubusercontent.com/marcosmapl/dataset_imigrantes/main/noticias_filtered/a_critica/venezuelanos/2017/08_set/txt/1.78586_302.txt", "TXT")</f>
        <v/>
      </c>
    </row>
    <row r="2366">
      <c r="A2366" s="1" t="n">
        <v>2364</v>
      </c>
      <c r="B2366" t="n">
        <v>2017</v>
      </c>
      <c r="C2366" s="2" t="n">
        <v>43004.02013888889</v>
      </c>
      <c r="D2366" t="inlineStr">
        <is>
          <t>A CRITICA</t>
        </is>
      </c>
      <c r="E2366" t="inlineStr">
        <is>
          <t>VENEZUELANOS</t>
        </is>
      </c>
      <c r="F2366" t="inlineStr">
        <is>
          <t>MANAUS</t>
        </is>
      </c>
      <c r="G2366" t="inlineStr">
        <is>
          <t>ACRÍTICA.COM</t>
        </is>
      </c>
      <c r="H2366" t="inlineStr">
        <is>
          <t>MIGRAÇÃO DOS WARAO PRORROGA SITUAÇÃO DE EMERGÊNCIA SOCIAL POR MAIS 180 DIAS</t>
        </is>
      </c>
      <c r="I2366" t="inlineStr">
        <is>
          <t>ATUALMENTE, OS INDÍGENAS OCUPAM CINCO CASAS QUE FORAM ALUGADAS EM CINCO PONTOS DIFERENTES DE MANAUS</t>
        </is>
      </c>
      <c r="J2366">
        <f>HYPERLINK("https://www.acritica.com/manaus/migrac-o-dos-warao-prorroga-situac-o-de-emergencia-social-por-mais-180-dias-1.81331", "URL")</f>
        <v/>
      </c>
      <c r="K2366">
        <f>HYPERLINK("https://raw.githubusercontent.com/marcosmapl/dataset_imigrantes/main/noticias_filtered/a_critica/venezuelanos/2017/08_set/html/1.81331_1139.html", "HTML")</f>
        <v/>
      </c>
      <c r="L2366">
        <f>HYPERLINK("https://raw.githubusercontent.com/marcosmapl/dataset_imigrantes/main/noticias_filtered/a_critica/venezuelanos/2017/08_set/txt/1.81331_1139.txt", "TXT")</f>
        <v/>
      </c>
    </row>
    <row r="2367">
      <c r="A2367" s="1" t="n">
        <v>2365</v>
      </c>
      <c r="B2367" t="n">
        <v>2017</v>
      </c>
      <c r="C2367" s="2" t="n">
        <v>42995.77396990741</v>
      </c>
      <c r="D2367" t="inlineStr">
        <is>
          <t>A CRITICA</t>
        </is>
      </c>
      <c r="E2367" t="inlineStr">
        <is>
          <t>VENEZUELANOS</t>
        </is>
      </c>
      <c r="F2367" t="inlineStr">
        <is>
          <t>OPINIAO</t>
        </is>
      </c>
      <c r="G2367" t="inlineStr">
        <is>
          <t>ARTIGOS</t>
        </is>
      </c>
      <c r="H2367" t="inlineStr">
        <is>
          <t>MIGRANTES VENEZUELANOS NO BRASIL</t>
        </is>
      </c>
      <c r="I2367" t="inlineStr">
        <is>
          <t>POR CRISTIANE MARIA SBALQUEIRO LOPES*</t>
        </is>
      </c>
      <c r="J2367">
        <f>HYPERLINK("https://www.acritica.com/opiniao/migrantes-venezuelanos-no-brasil-1.217549", "URL")</f>
        <v/>
      </c>
      <c r="K2367">
        <f>HYPERLINK("https://raw.githubusercontent.com/marcosmapl/dataset_imigrantes/main/noticias_filtered/a_critica/venezuelanos/2017/08_set/html/1.217549_482.html", "HTML")</f>
        <v/>
      </c>
      <c r="L2367">
        <f>HYPERLINK("https://raw.githubusercontent.com/marcosmapl/dataset_imigrantes/main/noticias_filtered/a_critica/venezuelanos/2017/08_set/txt/1.217549_482.txt", "TXT")</f>
        <v/>
      </c>
    </row>
    <row r="2368">
      <c r="A2368" s="1" t="n">
        <v>2366</v>
      </c>
      <c r="B2368" t="n">
        <v>2017</v>
      </c>
      <c r="C2368" s="2" t="n">
        <v>42994.125</v>
      </c>
      <c r="D2368" t="inlineStr">
        <is>
          <t>A CRITICA</t>
        </is>
      </c>
      <c r="E2368" t="inlineStr">
        <is>
          <t>HAITIANOS</t>
        </is>
      </c>
      <c r="F2368" t="inlineStr">
        <is>
          <t>OPINIAO</t>
        </is>
      </c>
      <c r="G2368" t="inlineStr">
        <is>
          <t>ORLANDO CÂMARA</t>
        </is>
      </c>
      <c r="H2368" t="inlineStr">
        <is>
          <t>FINGIMENTO!</t>
        </is>
      </c>
      <c r="I2368" t="inlineStr">
        <is>
          <t>ARTIGOS DE DOMINGO - 17 DE SETEMBRO DE 2017</t>
        </is>
      </c>
      <c r="J2368">
        <f>HYPERLINK("https://www.acritica.com/opiniao/fingimento-1.217552", "URL")</f>
        <v/>
      </c>
      <c r="K2368">
        <f>HYPERLINK("https://raw.githubusercontent.com/marcosmapl/dataset_imigrantes/main/noticias_filtered/a_critica/haitianos/2017/08_set/html/1.217552_986.html", "HTML")</f>
        <v/>
      </c>
      <c r="L2368">
        <f>HYPERLINK("https://raw.githubusercontent.com/marcosmapl/dataset_imigrantes/main/noticias_filtered/a_critica/haitianos/2017/08_set/txt/1.217552_986.txt", "TXT")</f>
        <v/>
      </c>
    </row>
    <row r="2369">
      <c r="A2369" s="1" t="n">
        <v>2367</v>
      </c>
      <c r="B2369" t="n">
        <v>2017</v>
      </c>
      <c r="C2369" s="2" t="n">
        <v>42993.93710936343</v>
      </c>
      <c r="D2369" t="inlineStr">
        <is>
          <t>G1</t>
        </is>
      </c>
      <c r="E2369" t="inlineStr">
        <is>
          <t>VENEZUELANOS</t>
        </is>
      </c>
      <c r="F2369" t="inlineStr">
        <is>
          <t>RORAIMA</t>
        </is>
      </c>
      <c r="G2369" t="inlineStr">
        <is>
          <t>EMILY COSTA, G1 RR</t>
        </is>
      </c>
      <c r="H2369" t="inlineStr">
        <is>
          <t>VENEZUELANA DIZ QUE FOI XINGADA ANTES DE SER AGREDIDA EM RR: 'JOGARAM PEDRAS E DISSERAM PARA IR EMBORA DO BRASIL'</t>
        </is>
      </c>
      <c r="I2369" t="inlineStr">
        <is>
          <t>ELA, O MARIDO E O IRMÃO ESTAVAM JUNTOS NO MOMENTO DA AGRESSÃO. IMIGRANTE FOI AGREDIDA COM SOCO E PONTAPÉ E TAMBÉM CONTA QUE FOI MAL ATENDIDA EM HOSPITAL: 'MÉDICA DISSE QUE NÃO TINHA TEMPO PARA ATENDER VENEZUELANOS'.</t>
        </is>
      </c>
      <c r="J2369">
        <f>HYPERLINK("https://g1.globo.com/rr/roraima/noticia/venezuelana-diz-que-foi-xingada-antes-de-ser-agredida-em-rr-jogaram-pedras-e-disseram-para-ir-embora-do-brasil.ghtml", "URL")</f>
        <v/>
      </c>
      <c r="K2369">
        <f>HYPERLINK("https://raw.githubusercontent.com/marcosmapl/dataset_imigrantes/main/noticias_filtered/g1/venezuelanos/2017/08_set/html/g1_dd110b34-2306-11ed-b24f-6dbe51e79fca_2283.html", "HTML")</f>
        <v/>
      </c>
      <c r="L2369">
        <f>HYPERLINK("https://raw.githubusercontent.com/marcosmapl/dataset_imigrantes/main/noticias_filtered/g1/venezuelanos/2017/08_set/txt/g1_dd110b34-2306-11ed-b24f-6dbe51e79fca_2283.txt", "TXT")</f>
        <v/>
      </c>
    </row>
    <row r="2370">
      <c r="A2370" s="1" t="n">
        <v>2368</v>
      </c>
      <c r="B2370" t="n">
        <v>2017</v>
      </c>
      <c r="C2370" s="2" t="n">
        <v>42991.55763888889</v>
      </c>
      <c r="D2370" t="inlineStr">
        <is>
          <t>PORTAL AMAZONIA</t>
        </is>
      </c>
      <c r="E2370" t="inlineStr">
        <is>
          <t>VENEZUELANOS</t>
        </is>
      </c>
      <c r="F2370" t="inlineStr">
        <is>
          <t>CIDADES</t>
        </is>
      </c>
      <c r="G2370" t="inlineStr">
        <is>
          <t>REDAÇÃO</t>
        </is>
      </c>
      <c r="H2370" t="inlineStr">
        <is>
          <t>FOME LEVA INDÍGENAS VENEZUELANOS A MIGRAREM PARA O BRASIL</t>
        </is>
      </c>
      <c r="I2370" t="inlineStr">
        <is>
          <t>UMA VIAGEM DE 925 QUILÔMETROS DE BARCO E DEPOIS, VENCIDA, DE FORMA OFICIAL OU NÃO, A FRONTEIRA ENTRE A VENEZUELA E O BRASIL, TRÊS DIAS DE CAMINHADA ATÉ BOA VISTA, CAPITAL DE RORAIMA. ESSA É A TRAVESSIA QUE MUITOS INDÍGENAS VENEZUELANOS INTEGRANTES DO</t>
        </is>
      </c>
      <c r="J2370">
        <f>HYPERLINK("https://portalamazonia.com/noticias/cidades/fome-leva-indigenas-venezuelanos-a-migrarem-para-o-brasil", "URL")</f>
        <v/>
      </c>
      <c r="K2370">
        <f>HYPERLINK("https://raw.githubusercontent.com/marcosmapl/dataset_imigrantes/main/noticias_filtered/portal_amazonia/venezuelanos/2017/08_set/html/9424.9424_1524.html", "HTML")</f>
        <v/>
      </c>
      <c r="L2370">
        <f>HYPERLINK("https://raw.githubusercontent.com/marcosmapl/dataset_imigrantes/main/noticias_filtered/portal_amazonia/venezuelanos/2017/08_set/txt/9424.9424_1524.txt", "TXT")</f>
        <v/>
      </c>
    </row>
    <row r="2371">
      <c r="A2371" s="1" t="n">
        <v>2369</v>
      </c>
      <c r="B2371" t="n">
        <v>2017</v>
      </c>
      <c r="C2371" s="2" t="n">
        <v>42991.05972222222</v>
      </c>
      <c r="D2371" t="inlineStr">
        <is>
          <t>A CRITICA</t>
        </is>
      </c>
      <c r="E2371" t="inlineStr">
        <is>
          <t>VENEZUELANOS</t>
        </is>
      </c>
      <c r="F2371" t="inlineStr">
        <is>
          <t>MANAUS</t>
        </is>
      </c>
      <c r="G2371" t="inlineStr">
        <is>
          <t>LORENNA SERRÃO</t>
        </is>
      </c>
      <c r="H2371" t="inlineStr">
        <is>
          <t>VENDEDORA DE PICOLÉ VENEZUELANA DO T2 VIRALIZA NA INTERNET E SE DIZ GUERREIRA</t>
        </is>
      </c>
      <c r="I2371" t="inlineStr">
        <is>
          <t>JORSEILY VILLARROEL, DE 22 ANOS, APÓS GANHAR 'FAMA' NAS REDES SOCIAIS, JÁ RECEBEU MUITAS PROPOSTAS DE EMPREGO E SE EMOCIONA COM O CARINHO DAS PESSOAS DE MANAUS</t>
        </is>
      </c>
      <c r="J2371">
        <f>HYPERLINK("https://www.acritica.com/manaus/vendedora-de-picole-venezuelana-do-t2-viraliza-na-internet-e-se-diz-guerreira-1.86365", "URL")</f>
        <v/>
      </c>
      <c r="K2371">
        <f>HYPERLINK("https://raw.githubusercontent.com/marcosmapl/dataset_imigrantes/main/noticias_filtered/a_critica/venezuelanos/2017/08_set/html/1.86365_91.html", "HTML")</f>
        <v/>
      </c>
      <c r="L2371">
        <f>HYPERLINK("https://raw.githubusercontent.com/marcosmapl/dataset_imigrantes/main/noticias_filtered/a_critica/venezuelanos/2017/08_set/txt/1.86365_91.txt", "TXT")</f>
        <v/>
      </c>
    </row>
    <row r="2372">
      <c r="A2372" s="1" t="n">
        <v>2370</v>
      </c>
      <c r="B2372" t="n">
        <v>2017</v>
      </c>
      <c r="C2372" s="2" t="n">
        <v>42989.59652777778</v>
      </c>
      <c r="D2372" t="inlineStr">
        <is>
          <t>PORTAL AMAZONIA</t>
        </is>
      </c>
      <c r="E2372" t="inlineStr">
        <is>
          <t>VENEZUELANOS</t>
        </is>
      </c>
      <c r="F2372" t="inlineStr">
        <is>
          <t>CIDADES</t>
        </is>
      </c>
      <c r="G2372" t="inlineStr">
        <is>
          <t>REDAÇÃO</t>
        </is>
      </c>
      <c r="H2372" t="inlineStr">
        <is>
          <t>MANAUS LEVA A BOA VISTA MODELO DE ACOLHIMENTO A ÍNDIOS VENEZUELANOS</t>
        </is>
      </c>
      <c r="I2372" t="inlineStr">
        <is>
          <t>UMA EQUIPE TÉCNICA DA SECRETARIA MUNICIPAL DA MULHER, ASSISTÊNCIA E DIREITOS HUMANOS, RESPONSÁVEL PELO ATENDIMENTO AOS INDÍGENAS VENEZUELANOS WARAO EM MANAUS, ESTÁ EM BOA VISTA, CAPITAL DE RORAIMA, PARA UM TRABALHO DE CAPACITAÇÃO DOS SERVIDORES ESTAD</t>
        </is>
      </c>
      <c r="J2372">
        <f>HYPERLINK("https://portalamazonia.com/noticias/cidades/manaus-leva-a-boa-vista-modelo-de-acolhimento-a-indios-venezuelanos", "URL")</f>
        <v/>
      </c>
      <c r="K2372">
        <f>HYPERLINK("https://raw.githubusercontent.com/marcosmapl/dataset_imigrantes/main/noticias_filtered/portal_amazonia/venezuelanos/2017/08_set/html/9373.9373_1598.html", "HTML")</f>
        <v/>
      </c>
      <c r="L2372">
        <f>HYPERLINK("https://raw.githubusercontent.com/marcosmapl/dataset_imigrantes/main/noticias_filtered/portal_amazonia/venezuelanos/2017/08_set/txt/9373.9373_1598.txt", "TXT")</f>
        <v/>
      </c>
    </row>
    <row r="2373">
      <c r="A2373" s="1" t="n">
        <v>2371</v>
      </c>
      <c r="B2373" t="n">
        <v>2017</v>
      </c>
      <c r="C2373" s="2" t="n">
        <v>42988.83434027778</v>
      </c>
      <c r="D2373" t="inlineStr">
        <is>
          <t>A CRITICA</t>
        </is>
      </c>
      <c r="E2373" t="inlineStr">
        <is>
          <t>VENEZUELANOS</t>
        </is>
      </c>
      <c r="F2373" t="inlineStr"/>
      <c r="G2373" t="inlineStr">
        <is>
          <t>MARIANA JUNGMANN – AGÊNCIA BRASIL</t>
        </is>
      </c>
      <c r="H2373" t="inlineStr">
        <is>
          <t>NO ÚLTIMO DIA NA COLÔMBIA, PAPA SE MACHUCA NO PAPAMÓVEL E ORA PELA VENEZUELA</t>
        </is>
      </c>
      <c r="I2373" t="inlineStr">
        <is>
          <t>O PONTÍFICE BATEU O ROSTO NO VIDRO DO PAPAMÓVEL, DURANTE UMA FREADA BRUSCA DO VEÍCULO, E PRECISOU APLICAR GELO</t>
        </is>
      </c>
      <c r="J2373">
        <f>HYPERLINK("https://www.acritica.com/no-ultimo-dia-na-colombia-papa-se-machuca-no-papamovel-e-ora-pela-venezuela-1.89417", "URL")</f>
        <v/>
      </c>
      <c r="K2373">
        <f>HYPERLINK("https://raw.githubusercontent.com/marcosmapl/dataset_imigrantes/main/noticias_filtered/a_critica/venezuelanos/2017/08_set/html/1.89417_611.html", "HTML")</f>
        <v/>
      </c>
      <c r="L2373">
        <f>HYPERLINK("https://raw.githubusercontent.com/marcosmapl/dataset_imigrantes/main/noticias_filtered/a_critica/venezuelanos/2017/08_set/txt/1.89417_611.txt", "TXT")</f>
        <v/>
      </c>
    </row>
    <row r="2374">
      <c r="A2374" s="1" t="n">
        <v>2372</v>
      </c>
      <c r="B2374" t="n">
        <v>2017</v>
      </c>
      <c r="C2374" s="2" t="n">
        <v>42983.375</v>
      </c>
      <c r="D2374" t="inlineStr">
        <is>
          <t>A CRITICA</t>
        </is>
      </c>
      <c r="E2374" t="inlineStr">
        <is>
          <t>VENEZUELANOS</t>
        </is>
      </c>
      <c r="F2374" t="inlineStr"/>
      <c r="G2374" t="inlineStr">
        <is>
          <t>PAULO ANDRÉ NUNES</t>
        </is>
      </c>
      <c r="H2374" t="inlineStr">
        <is>
          <t>PARTE DE AMAZONENSES E RESIDENTES EM MANAUS NÃO SABEM HISTÓRIA DO 5 DE SETEMBRO</t>
        </is>
      </c>
      <c r="I2374" t="inlineStr">
        <is>
          <t>OUTRO FATO INTERESSANTE É QUE OUVIDOS PELA REPORTAGEM NÃO SABEM QUE A ESTÁTUA LOCALIZADA NA PRAÇA DA SAUDADE É DE TENREIRO ARANHA, O PRIMEIRO PRESIDENTE DA PROVÍNCIA</t>
        </is>
      </c>
      <c r="J2374">
        <f>HYPERLINK("https://www.acritica.com/parte-de-amazonenses-e-residentes-em-manaus-n-o-sabem-historia-do-5-de-setembro-1.95134", "URL")</f>
        <v/>
      </c>
      <c r="K2374">
        <f>HYPERLINK("https://raw.githubusercontent.com/marcosmapl/dataset_imigrantes/main/noticias_filtered/a_critica/venezuelanos/2017/08_set/html/1.95134_1240.html", "HTML")</f>
        <v/>
      </c>
      <c r="L2374">
        <f>HYPERLINK("https://raw.githubusercontent.com/marcosmapl/dataset_imigrantes/main/noticias_filtered/a_critica/venezuelanos/2017/08_set/txt/1.95134_1240.txt", "TXT")</f>
        <v/>
      </c>
    </row>
    <row r="2375">
      <c r="A2375" s="1" t="n">
        <v>2373</v>
      </c>
      <c r="B2375" t="n">
        <v>2017</v>
      </c>
      <c r="C2375" s="2" t="n">
        <v>42982.62916666667</v>
      </c>
      <c r="D2375" t="inlineStr">
        <is>
          <t>A CRITICA</t>
        </is>
      </c>
      <c r="E2375" t="inlineStr">
        <is>
          <t>VENEZUELANOS</t>
        </is>
      </c>
      <c r="F2375" t="inlineStr">
        <is>
          <t>POLICIA</t>
        </is>
      </c>
      <c r="G2375" t="inlineStr">
        <is>
          <t>DANI BRITO</t>
        </is>
      </c>
      <c r="H2375" t="inlineStr">
        <is>
          <t>‘ASSOCIAÇÃO CRIMINOSA DOS NINJAS’ É PRESA POR ROUBOS A CONDOMÍNIOS DE LUXO EM MANAUS</t>
        </is>
      </c>
      <c r="I2375" t="inlineStr">
        <is>
          <t>ELES SÃO SUSPEITOS DE PELO MENOS CINCO ASSALTOS A RESIDÊNCIAS E ERAM CONHECIDOS COMO “NINJAS” PORQUE USAVAM PRETO, LUVAS E BALACLAVAS</t>
        </is>
      </c>
      <c r="J2375">
        <f>HYPERLINK("https://www.acritica.com/policia/associac-o-criminosa-dos-ninjas-e-presa-por-roubos-a-condominios-de-luxo-em-manaus-1.94955", "URL")</f>
        <v/>
      </c>
      <c r="K2375">
        <f>HYPERLINK("https://raw.githubusercontent.com/marcosmapl/dataset_imigrantes/main/noticias_filtered/a_critica/venezuelanos/2017/08_set/html/1.94955_192.html", "HTML")</f>
        <v/>
      </c>
      <c r="L2375">
        <f>HYPERLINK("https://raw.githubusercontent.com/marcosmapl/dataset_imigrantes/main/noticias_filtered/a_critica/venezuelanos/2017/08_set/txt/1.94955_192.txt", "TXT")</f>
        <v/>
      </c>
    </row>
    <row r="2376">
      <c r="A2376" s="1" t="n">
        <v>2374</v>
      </c>
      <c r="B2376" t="n">
        <v>2017</v>
      </c>
      <c r="C2376" s="2" t="n">
        <v>42982.49305555555</v>
      </c>
      <c r="D2376" t="inlineStr">
        <is>
          <t>A CRITICA</t>
        </is>
      </c>
      <c r="E2376" t="inlineStr">
        <is>
          <t>VENEZUELANOS</t>
        </is>
      </c>
      <c r="F2376" t="inlineStr">
        <is>
          <t>ENTRETENIMENTO</t>
        </is>
      </c>
      <c r="G2376" t="inlineStr">
        <is>
          <t>NATÁLIA CAPLAN</t>
        </is>
      </c>
      <c r="H2376" t="inlineStr">
        <is>
          <t>VEJA DICAS DE SÉRIES PARA CURTIR EM CASA COM AMIGOS NA SEMANA DA PÁTRIA</t>
        </is>
      </c>
      <c r="I2376" t="inlineStr">
        <is>
          <t>O NETLIX LANÇOU TEMPORADAS SUPER ESPERADAS, COMO O 13º ANO DE “GREY’S ANATOMY” E OS NOVOS EPISÓDIOS DE “ONCE UPON A TIME”, ALÉM DA TERCEIRA TEMPORADA DE NARCOS</t>
        </is>
      </c>
      <c r="J2376">
        <f>HYPERLINK("https://www.acritica.com/entretenimento/veja-dicas-de-series-para-curtir-em-casa-com-amigos-na-semana-da-patria-1.95007", "URL")</f>
        <v/>
      </c>
      <c r="K2376">
        <f>HYPERLINK("https://raw.githubusercontent.com/marcosmapl/dataset_imigrantes/main/noticias_filtered/a_critica/venezuelanos/2017/08_set/html/1.95007_494.html", "HTML")</f>
        <v/>
      </c>
      <c r="L2376">
        <f>HYPERLINK("https://raw.githubusercontent.com/marcosmapl/dataset_imigrantes/main/noticias_filtered/a_critica/venezuelanos/2017/08_set/txt/1.95007_494.txt", "TXT")</f>
        <v/>
      </c>
    </row>
    <row r="2377">
      <c r="A2377" s="1" t="n">
        <v>2375</v>
      </c>
      <c r="B2377" t="n">
        <v>2017</v>
      </c>
      <c r="C2377" s="2" t="n">
        <v>42978.73238425926</v>
      </c>
      <c r="D2377" t="inlineStr">
        <is>
          <t>A CRITICA</t>
        </is>
      </c>
      <c r="E2377" t="inlineStr">
        <is>
          <t>HAITIANOS</t>
        </is>
      </c>
      <c r="F2377" t="inlineStr"/>
      <c r="G2377" t="inlineStr">
        <is>
          <t>ALEX RODRIGUES – AGÊNCIA BRASIL</t>
        </is>
      </c>
      <c r="H2377" t="inlineStr">
        <is>
          <t>DEPOIS DE 13 ANOS, MILITARES BRASILEIROS COMEÇAM A DEIXAR O HAITI</t>
        </is>
      </c>
      <c r="I2377" t="inlineStr">
        <is>
          <t>NA NOITE DESTA QUINTA-FEIRA, UMA CERIMÔNIA NA CAPITAL, PORTO PRÍNCIPE, MARCARÁ O INÍCIO OFICIAL DA DESMOBILIZAÇÃO DO BATALHÃO BRASILEIRO</t>
        </is>
      </c>
      <c r="J2377">
        <f>HYPERLINK("https://www.acritica.com/depois-de-13-anos-militares-brasileiros-comecam-a-deixar-o-haiti-1.94334", "URL")</f>
        <v/>
      </c>
      <c r="K2377">
        <f>HYPERLINK("https://raw.githubusercontent.com/marcosmapl/dataset_imigrantes/main/noticias_filtered/a_critica/haitianos/2017/07_ago/html/1.94334_1048.html", "HTML")</f>
        <v/>
      </c>
      <c r="L2377">
        <f>HYPERLINK("https://raw.githubusercontent.com/marcosmapl/dataset_imigrantes/main/noticias_filtered/a_critica/haitianos/2017/07_ago/txt/1.94334_1048.txt", "TXT")</f>
        <v/>
      </c>
    </row>
    <row r="2378">
      <c r="A2378" s="1" t="n">
        <v>2376</v>
      </c>
      <c r="B2378" t="n">
        <v>2017</v>
      </c>
      <c r="C2378" s="2" t="n">
        <v>42975.71540509259</v>
      </c>
      <c r="D2378" t="inlineStr">
        <is>
          <t>A CRITICA</t>
        </is>
      </c>
      <c r="E2378" t="inlineStr">
        <is>
          <t>VENEZUELANOS</t>
        </is>
      </c>
      <c r="F2378" t="inlineStr">
        <is>
          <t>MANAUS</t>
        </is>
      </c>
      <c r="G2378" t="inlineStr">
        <is>
          <t>SILANE SOUZA</t>
        </is>
      </c>
      <c r="H2378" t="inlineStr">
        <is>
          <t>PENDÊNCIAS DOCUMENTAIS DE IMÓVEIS QUE ABRIGAM INDÍGENAS CRIAM INSEGURANÇA</t>
        </is>
      </c>
      <c r="I2378" t="inlineStr">
        <is>
          <t>A SEMMASDH INFORMOU QUE A AUSÊNCIA DE DOCUMENTOS DOS LOCATÁRIOS É O PRINCIPAL ENTRAVE PARA A PREFEITURA DE MANAUS FAZER O PAGAMENTO DO ALUGUEL DOS IMÓVEIS QUE ABRIGAM OS INDÍGENAS VENEZUELANOS</t>
        </is>
      </c>
      <c r="J2378">
        <f>HYPERLINK("https://www.acritica.com/manaus/pendencias-documentais-de-imoveis-que-abrigam-indigenas-criam-inseguranca-1.93322", "URL")</f>
        <v/>
      </c>
      <c r="K2378">
        <f>HYPERLINK("https://raw.githubusercontent.com/marcosmapl/dataset_imigrantes/main/noticias_filtered/a_critica/venezuelanos/2017/07_ago/html/1.93322_566.html", "HTML")</f>
        <v/>
      </c>
      <c r="L2378">
        <f>HYPERLINK("https://raw.githubusercontent.com/marcosmapl/dataset_imigrantes/main/noticias_filtered/a_critica/venezuelanos/2017/07_ago/txt/1.93322_566.txt", "TXT")</f>
        <v/>
      </c>
    </row>
    <row r="2379">
      <c r="A2379" s="1" t="n">
        <v>2377</v>
      </c>
      <c r="B2379" t="n">
        <v>2017</v>
      </c>
      <c r="C2379" s="2" t="n">
        <v>42975.01331018518</v>
      </c>
      <c r="D2379" t="inlineStr">
        <is>
          <t>A CRITICA</t>
        </is>
      </c>
      <c r="E2379" t="inlineStr">
        <is>
          <t>VENEZUELANOS</t>
        </is>
      </c>
      <c r="F2379" t="inlineStr">
        <is>
          <t>ESPORTES</t>
        </is>
      </c>
      <c r="G2379" t="inlineStr">
        <is>
          <t>VALTER CARDOSO</t>
        </is>
      </c>
      <c r="H2379" t="inlineStr">
        <is>
          <t>IMIGRANTES DE PAÍSES DA AMÉRICA DO SUL FAZEM TORNEIO NA CIDADE DE MANAUS</t>
        </is>
      </c>
      <c r="I2379" t="inlineStr">
        <is>
          <t>COMPETIÇÃO REUNIU TIMES PARA DISPUTAR TORNEIO AMISTOSO EM HOMENAGEM A SANTA ROSA DE LIMA, PADROEIRA DO PERU</t>
        </is>
      </c>
      <c r="J2379">
        <f>HYPERLINK("https://www.acritica.com/esportes/imigrantes-de-paises-da-america-do-sul-fazem-torneio-na-cidade-de-manaus-1.93334", "URL")</f>
        <v/>
      </c>
      <c r="K2379">
        <f>HYPERLINK("https://raw.githubusercontent.com/marcosmapl/dataset_imigrantes/main/noticias_filtered/a_critica/venezuelanos/2017/07_ago/html/1.93334_89.html", "HTML")</f>
        <v/>
      </c>
      <c r="L2379">
        <f>HYPERLINK("https://raw.githubusercontent.com/marcosmapl/dataset_imigrantes/main/noticias_filtered/a_critica/venezuelanos/2017/07_ago/txt/1.93334_89.txt", "TXT")</f>
        <v/>
      </c>
    </row>
    <row r="2380">
      <c r="A2380" s="1" t="n">
        <v>2378</v>
      </c>
      <c r="B2380" t="n">
        <v>2017</v>
      </c>
      <c r="C2380" s="2" t="n">
        <v>42972.55833333333</v>
      </c>
      <c r="D2380" t="inlineStr">
        <is>
          <t>A CRITICA</t>
        </is>
      </c>
      <c r="E2380" t="inlineStr">
        <is>
          <t>VENEZUELANOS</t>
        </is>
      </c>
      <c r="F2380" t="inlineStr"/>
      <c r="G2380" t="inlineStr">
        <is>
          <t>ACRÍTICA.COM</t>
        </is>
      </c>
      <c r="H2380" t="inlineStr">
        <is>
          <t>MPF PEDE ESCLARECIMENTO SOBRE FALTA DE PAGAMENTO DE ALUGUEL DE VENEZUELANOS</t>
        </is>
      </c>
      <c r="I2380" t="inlineStr">
        <is>
          <t>O MPF-AM ENCAMINHOU OFÍCIO À PREFEITURA DE MANAUS SOLICITANDO ESCLARECIMENTOS SOBRE INFORMAÇÕES RECEBIDAS PELO ÓRGÃO DE QUE O ALUGUEL DE IMÓVEIS DESTINADOS A ABRIGAR INDÍGENAS WARAO, NÃO ESTÁ SENDO PAGO</t>
        </is>
      </c>
      <c r="J2380">
        <f>HYPERLINK("https://www.acritica.com/mpf-pede-esclarecimento-sobre-falta-de-pagamento-de-aluguel-de-venezuelanos-1.183798", "URL")</f>
        <v/>
      </c>
      <c r="K2380">
        <f>HYPERLINK("https://raw.githubusercontent.com/marcosmapl/dataset_imigrantes/main/noticias_filtered/a_critica/venezuelanos/2017/07_ago/html/1.183798_771.html", "HTML")</f>
        <v/>
      </c>
      <c r="L2380">
        <f>HYPERLINK("https://raw.githubusercontent.com/marcosmapl/dataset_imigrantes/main/noticias_filtered/a_critica/venezuelanos/2017/07_ago/txt/1.183798_771.txt", "TXT")</f>
        <v/>
      </c>
    </row>
    <row r="2381">
      <c r="A2381" s="1" t="n">
        <v>2379</v>
      </c>
      <c r="B2381" t="n">
        <v>2017</v>
      </c>
      <c r="C2381" s="2" t="n">
        <v>42969.96178240741</v>
      </c>
      <c r="D2381" t="inlineStr">
        <is>
          <t>A CRITICA</t>
        </is>
      </c>
      <c r="E2381" t="inlineStr">
        <is>
          <t>VENEZUELANOS</t>
        </is>
      </c>
      <c r="F2381" t="inlineStr">
        <is>
          <t>MANAUS</t>
        </is>
      </c>
      <c r="G2381" t="inlineStr">
        <is>
          <t>TIAGO MELO</t>
        </is>
      </c>
      <c r="H2381" t="inlineStr">
        <is>
          <t>CERCA DE 50 PESSOAS SE REÚNEM EM ATO DE APOIO AO PRESIDENTE NICOLÁS MADURO</t>
        </is>
      </c>
      <c r="I2381" t="inlineStr">
        <is>
          <t>EVENTO QUE ACONTECEU NA SEDE DO SINDIPETRO CONTOU COM A PRESENÇA DE REPRESENTANTES PARTIDÁRIOS E CÔNSULES</t>
        </is>
      </c>
      <c r="J2381">
        <f>HYPERLINK("https://www.acritica.com/manaus/cerca-de-50-pessoas-se-reunem-em-ato-de-apoio-ao-presidente-nicolas-maduro-1.86781", "URL")</f>
        <v/>
      </c>
      <c r="K2381">
        <f>HYPERLINK("https://raw.githubusercontent.com/marcosmapl/dataset_imigrantes/main/noticias_filtered/a_critica/venezuelanos/2017/07_ago/html/1.86781_1054.html", "HTML")</f>
        <v/>
      </c>
      <c r="L2381">
        <f>HYPERLINK("https://raw.githubusercontent.com/marcosmapl/dataset_imigrantes/main/noticias_filtered/a_critica/venezuelanos/2017/07_ago/txt/1.86781_1054.txt", "TXT")</f>
        <v/>
      </c>
    </row>
    <row r="2382">
      <c r="A2382" s="1" t="n">
        <v>2380</v>
      </c>
      <c r="B2382" t="n">
        <v>2017</v>
      </c>
      <c r="C2382" s="2" t="n">
        <v>42967.08333333334</v>
      </c>
      <c r="D2382" t="inlineStr">
        <is>
          <t>A CRITICA</t>
        </is>
      </c>
      <c r="E2382" t="inlineStr">
        <is>
          <t>VENEZUELANOS</t>
        </is>
      </c>
      <c r="F2382" t="inlineStr">
        <is>
          <t>AMAZONIA</t>
        </is>
      </c>
      <c r="G2382" t="inlineStr">
        <is>
          <t>SÉRGIO MIRANDA - ESPECIAL PARA A CRÍTICA</t>
        </is>
      </c>
      <c r="H2382" t="inlineStr">
        <is>
          <t>SÉRIE 'MISTÉRIOS DA AMAZÔNIA' MOSTRA EXPEDIÇÃO INÉDITA NA SERRA DO ARACÁ</t>
        </is>
      </c>
      <c r="I2382" t="inlineStr">
        <is>
          <t>SÉRIE DE REPORTAGENS MOSTRA A ‘AVENTURA’ DE PESQUISADORES E UMA EQUIPE DE JORNALISMO EM UMA EXPEDIÇÃO A UM DESTINO QUASE DESCONHECIDO: O PARQUE ESTADUAL DA SERRA DO ARACÁ, EM BARCELOS</t>
        </is>
      </c>
      <c r="J2382">
        <f>HYPERLINK("https://www.acritica.com/amazonia/serie-misterios-da-amazonia-mostra-expedic-o-inedita-na-serra-do-araca-1.89696", "URL")</f>
        <v/>
      </c>
      <c r="K2382">
        <f>HYPERLINK("https://raw.githubusercontent.com/marcosmapl/dataset_imigrantes/main/noticias_filtered/a_critica/venezuelanos/2017/07_ago/html/1.89696_540.html", "HTML")</f>
        <v/>
      </c>
      <c r="L2382">
        <f>HYPERLINK("https://raw.githubusercontent.com/marcosmapl/dataset_imigrantes/main/noticias_filtered/a_critica/venezuelanos/2017/07_ago/txt/1.89696_540.txt", "TXT")</f>
        <v/>
      </c>
    </row>
    <row r="2383">
      <c r="A2383" s="1" t="n">
        <v>2381</v>
      </c>
      <c r="B2383" t="n">
        <v>2017</v>
      </c>
      <c r="C2383" s="2" t="n">
        <v>42966.91458333333</v>
      </c>
      <c r="D2383" t="inlineStr">
        <is>
          <t>G1</t>
        </is>
      </c>
      <c r="E2383" t="inlineStr">
        <is>
          <t>VENEZUELANOS</t>
        </is>
      </c>
      <c r="F2383" t="inlineStr"/>
      <c r="G2383" t="inlineStr"/>
      <c r="H2383" t="inlineStr">
        <is>
          <t>PARLAMENTO VENEZUELANO DIZ QUE NÃO SE SUBMETERÁ À ASSEMBLEIA DE MADURO</t>
        </is>
      </c>
      <c r="I2383" t="inlineStr"/>
      <c r="J2383">
        <f>HYPERLINK("http://g1.globo.com/jornal-nacional/noticia/2017/08/parlamento-venezuelano-diz-que-nao-se-submetera-assembleia-de-maduro.html", "URL")</f>
        <v/>
      </c>
      <c r="K2383">
        <f>HYPERLINK("https://raw.githubusercontent.com/marcosmapl/dataset_imigrantes/main/noticias_filtered/g1/venezuelanos/2017/07_ago/html/g1_c02b0eb6-2329-11ed-b24f-6dbe51e79fca_4137.html", "HTML")</f>
        <v/>
      </c>
      <c r="L2383">
        <f>HYPERLINK("https://raw.githubusercontent.com/marcosmapl/dataset_imigrantes/main/noticias_filtered/g1/venezuelanos/2017/07_ago/txt/g1_c02b0eb6-2329-11ed-b24f-6dbe51e79fca_4137.txt", "TXT")</f>
        <v/>
      </c>
    </row>
    <row r="2384">
      <c r="A2384" s="1" t="n">
        <v>2382</v>
      </c>
      <c r="B2384" t="n">
        <v>2017</v>
      </c>
      <c r="C2384" s="2" t="n">
        <v>42963.78541666667</v>
      </c>
      <c r="D2384" t="inlineStr">
        <is>
          <t>A CRITICA</t>
        </is>
      </c>
      <c r="E2384" t="inlineStr">
        <is>
          <t>HAITIANOS</t>
        </is>
      </c>
      <c r="F2384" t="inlineStr"/>
      <c r="G2384" t="inlineStr">
        <is>
          <t>PAULO ANDRÉ NUNES</t>
        </is>
      </c>
      <c r="H2384" t="inlineStr">
        <is>
          <t>CURSO AJUDA HAITIANOS A LECIONAR E PARCELA DA POPULAÇÃO A APRENDER INGLÊS E FRANCÊS</t>
        </is>
      </c>
      <c r="I2384" t="inlineStr">
        <is>
          <t>CRIADO SEM FINS LUCRATIVOS, OS CURSOS DE IDIOMAS DO PROJETO SOCIAL TO BE DA ORGANIZAÇÃO ENACTUS UNINORTE VISAM INTEGRAR IMIGRANTES HAITIANOS NA SOCIEDADE MANAUENSE, DANDO-LHES TREINAMENTO E CONDIÇÕES IDEAIS PARA QUE POSSAM DAR AULAS PARTICULARES DE IDIOMAS, CAPACITANDO A POPULAÇÃO CONSIDERADA DE BAIXA RENDA PARA MELHOR INSERÇÃO NO MERCADO DE TRABALHO</t>
        </is>
      </c>
      <c r="J2384">
        <f>HYPERLINK("https://www.acritica.com/curso-ajuda-haitianos-a-lecionar-e-parcela-da-populac-o-a-aprender-ingles-e-frances-1.198303", "URL")</f>
        <v/>
      </c>
      <c r="K2384">
        <f>HYPERLINK("https://raw.githubusercontent.com/marcosmapl/dataset_imigrantes/main/noticias_filtered/a_critica/haitianos/2017/07_ago/html/1.198303_910.html", "HTML")</f>
        <v/>
      </c>
      <c r="L2384">
        <f>HYPERLINK("https://raw.githubusercontent.com/marcosmapl/dataset_imigrantes/main/noticias_filtered/a_critica/haitianos/2017/07_ago/txt/1.198303_910.txt", "TXT")</f>
        <v/>
      </c>
    </row>
    <row r="2385">
      <c r="A2385" s="1" t="n">
        <v>2383</v>
      </c>
      <c r="B2385" t="n">
        <v>2017</v>
      </c>
      <c r="C2385" s="2" t="n">
        <v>42961.80902777778</v>
      </c>
      <c r="D2385" t="inlineStr">
        <is>
          <t>PORTAL AMAZONIA</t>
        </is>
      </c>
      <c r="E2385" t="inlineStr">
        <is>
          <t>VENEZUELANOS</t>
        </is>
      </c>
      <c r="F2385" t="inlineStr">
        <is>
          <t>CIDADES</t>
        </is>
      </c>
      <c r="G2385" t="inlineStr">
        <is>
          <t>REDAÇÃO</t>
        </is>
      </c>
      <c r="H2385" t="inlineStr">
        <is>
          <t>SENADO DEVE ANALISAR CRISE NA VENEZUELA NESTA TERÇA-FEIRA</t>
        </is>
      </c>
      <c r="I2385" t="inlineStr">
        <is>
          <t>A CRISE NA VENEZUELA DEVE DOMINAR A PAUTA DO SENADO BRASILEIRO NESTA TERÇA-FEIRA (15). É QUE ESTÃO NA PAUTA O PLENÁRIO DA CASA DOIS REQUERIMENTOS ENVOLVENDO O PAÍS. UM DELES, APRESENTADO PELO SENADOR RICARDO FERRAÇO (PSDB-ES), PEDE VOTO DE CENSURA AO</t>
        </is>
      </c>
      <c r="J2385">
        <f>HYPERLINK("https://portalamazonia.com/noticias/cidades/senado-deve-analisar-crise-na-venezuela-nesta-terca-feira", "URL")</f>
        <v/>
      </c>
      <c r="K2385">
        <f>HYPERLINK("https://raw.githubusercontent.com/marcosmapl/dataset_imigrantes/main/noticias_filtered/portal_amazonia/venezuelanos/2017/07_ago/html/9038.9038_1596.html", "HTML")</f>
        <v/>
      </c>
      <c r="L2385">
        <f>HYPERLINK("https://raw.githubusercontent.com/marcosmapl/dataset_imigrantes/main/noticias_filtered/portal_amazonia/venezuelanos/2017/07_ago/txt/9038.9038_1596.txt", "TXT")</f>
        <v/>
      </c>
    </row>
    <row r="2386">
      <c r="A2386" s="1" t="n">
        <v>2384</v>
      </c>
      <c r="B2386" t="n">
        <v>2017</v>
      </c>
      <c r="C2386" s="2" t="n">
        <v>42960.97319444444</v>
      </c>
      <c r="D2386" t="inlineStr">
        <is>
          <t>A CRITICA</t>
        </is>
      </c>
      <c r="E2386" t="inlineStr">
        <is>
          <t>VENEZUELANOS</t>
        </is>
      </c>
      <c r="F2386" t="inlineStr"/>
      <c r="G2386" t="inlineStr">
        <is>
          <t>AFP</t>
        </is>
      </c>
      <c r="H2386" t="inlineStr">
        <is>
          <t>EM MEIO A IMPOTÊNCIA, FRUSTRAÇÃO E RAIVA, PROTESTOS DA OPOSIÇÃO ESFRIAM EM CARACAS</t>
        </is>
      </c>
      <c r="I2386" t="inlineStr">
        <is>
          <t>CONSTITUINTE FOI ELEITA EM 30 DE JULHO, SEM A PARTICIPAÇÃO DA OPOSIÇÃO, E EM MEIO A UM FORTE RECHAÇO INTERNACIONAL. MUITOS ASSUMIRAM O FATO COMO UMA DERROTA.</t>
        </is>
      </c>
      <c r="J2386">
        <f>HYPERLINK("https://www.acritica.com/em-meio-a-impotencia-frustrac-o-e-raiva-protestos-da-oposic-o-esfriam-em-caracas-1.82836", "URL")</f>
        <v/>
      </c>
      <c r="K2386">
        <f>HYPERLINK("https://raw.githubusercontent.com/marcosmapl/dataset_imigrantes/main/noticias_filtered/a_critica/venezuelanos/2017/07_ago/html/1.82836_254.html", "HTML")</f>
        <v/>
      </c>
      <c r="L2386">
        <f>HYPERLINK("https://raw.githubusercontent.com/marcosmapl/dataset_imigrantes/main/noticias_filtered/a_critica/venezuelanos/2017/07_ago/txt/1.82836_254.txt", "TXT")</f>
        <v/>
      </c>
    </row>
    <row r="2387">
      <c r="A2387" s="1" t="n">
        <v>2385</v>
      </c>
      <c r="B2387" t="n">
        <v>2017</v>
      </c>
      <c r="C2387" s="2" t="n">
        <v>42958.02517361111</v>
      </c>
      <c r="D2387" t="inlineStr">
        <is>
          <t>A CRITICA</t>
        </is>
      </c>
      <c r="E2387" t="inlineStr">
        <is>
          <t>VENEZUELANOS</t>
        </is>
      </c>
      <c r="F2387" t="inlineStr"/>
      <c r="G2387" t="inlineStr"/>
      <c r="H2387" t="inlineStr">
        <is>
          <t>PRESIDENTE CONFRONTADO SOBRE A ZONA FRANCA DE MANAUS</t>
        </is>
      </c>
      <c r="I2387" t="inlineStr"/>
      <c r="J2387">
        <f>HYPERLINK("https://www.acritica.com/presidente-confrontado-sobre-a-zona-franca-de-manaus-1.226035", "URL")</f>
        <v/>
      </c>
      <c r="K2387">
        <f>HYPERLINK("https://raw.githubusercontent.com/marcosmapl/dataset_imigrantes/main/noticias_filtered/a_critica/venezuelanos/2017/07_ago/html/1.226035_1148.html", "HTML")</f>
        <v/>
      </c>
      <c r="L2387">
        <f>HYPERLINK("https://raw.githubusercontent.com/marcosmapl/dataset_imigrantes/main/noticias_filtered/a_critica/venezuelanos/2017/07_ago/txt/1.226035_1148.txt", "TXT")</f>
        <v/>
      </c>
    </row>
    <row r="2388">
      <c r="A2388" s="1" t="n">
        <v>2386</v>
      </c>
      <c r="B2388" t="n">
        <v>2017</v>
      </c>
      <c r="C2388" s="2" t="n">
        <v>42955.92413194444</v>
      </c>
      <c r="D2388" t="inlineStr">
        <is>
          <t>A CRITICA</t>
        </is>
      </c>
      <c r="E2388" t="inlineStr">
        <is>
          <t>VENEZUELANOS</t>
        </is>
      </c>
      <c r="F2388" t="inlineStr"/>
      <c r="G2388" t="inlineStr">
        <is>
          <t>ESTADÃO CONTEÚDO</t>
        </is>
      </c>
      <c r="H2388" t="inlineStr">
        <is>
          <t>CONSTITUINTE NA VENEZUELA SE DECLARA SUPERIOR A DEMAIS PODERES COM APROVAÇÃO DE DECRETO</t>
        </is>
      </c>
      <c r="I2388" t="inlineStr">
        <is>
          <t>A ORDEM, APROVADA NESTA TERÇA-FEIRA (8), IMPEDE QUE A ASSEMBLEIA NACIONAL, QUE É CONTROLADA PELA OPOSIÇÃO, E OUTRAS AGÊNCIAS TOMEM QUALQUER AÇÃO QUE INTERFIRA NAS LEIS APROVADAS PELA CONSTITUINTE</t>
        </is>
      </c>
      <c r="J2388">
        <f>HYPERLINK("https://www.acritica.com/constituinte-na-venezuela-se-declara-superior-a-demais-poderes-com-aprovac-o-de-decreto-1.199755", "URL")</f>
        <v/>
      </c>
      <c r="K2388">
        <f>HYPERLINK("https://raw.githubusercontent.com/marcosmapl/dataset_imigrantes/main/noticias_filtered/a_critica/venezuelanos/2017/07_ago/html/1.199755_7.html", "HTML")</f>
        <v/>
      </c>
      <c r="L2388">
        <f>HYPERLINK("https://raw.githubusercontent.com/marcosmapl/dataset_imigrantes/main/noticias_filtered/a_critica/venezuelanos/2017/07_ago/txt/1.199755_7.txt", "TXT")</f>
        <v/>
      </c>
    </row>
    <row r="2389">
      <c r="A2389" s="1" t="n">
        <v>2387</v>
      </c>
      <c r="B2389" t="n">
        <v>2017</v>
      </c>
      <c r="C2389" s="2" t="n">
        <v>42955.70228009259</v>
      </c>
      <c r="D2389" t="inlineStr">
        <is>
          <t>A CRITICA</t>
        </is>
      </c>
      <c r="E2389" t="inlineStr">
        <is>
          <t>VENEZUELANOS</t>
        </is>
      </c>
      <c r="F2389" t="inlineStr"/>
      <c r="G2389" t="inlineStr">
        <is>
          <t>MARTA FURTADA (AGÊNCIA EFE)</t>
        </is>
      </c>
      <c r="H2389" t="inlineStr">
        <is>
          <t>ONU ACUSA VENEZUELA DE MAUS-TRATOS E TORTURA A MANIFESTANTES EM PROTESTOS</t>
        </is>
      </c>
      <c r="I2389" t="inlineStr">
        <is>
          <t>PARA NAÇÕES UNIDAS, PAÍS VEM USANDO DE FORÇA EXCESSIVA E PRISÕES PARA SUFOCAR PELO MENOS 5 MIL MANIFESTANTES E DETIDOS</t>
        </is>
      </c>
      <c r="J2389">
        <f>HYPERLINK("https://www.acritica.com/onu-acusa-venezuela-de-maus-tratos-e-tortura-a-manifestantes-em-protestos-1.199732", "URL")</f>
        <v/>
      </c>
      <c r="K2389">
        <f>HYPERLINK("https://raw.githubusercontent.com/marcosmapl/dataset_imigrantes/main/noticias_filtered/a_critica/venezuelanos/2017/07_ago/html/1.199732_496.html", "HTML")</f>
        <v/>
      </c>
      <c r="L2389">
        <f>HYPERLINK("https://raw.githubusercontent.com/marcosmapl/dataset_imigrantes/main/noticias_filtered/a_critica/venezuelanos/2017/07_ago/txt/1.199732_496.txt", "TXT")</f>
        <v/>
      </c>
    </row>
    <row r="2390">
      <c r="A2390" s="1" t="n">
        <v>2388</v>
      </c>
      <c r="B2390" t="n">
        <v>2017</v>
      </c>
      <c r="C2390" s="2" t="n">
        <v>42951.55694444444</v>
      </c>
      <c r="D2390" t="inlineStr">
        <is>
          <t>PORTAL AMAZONIA</t>
        </is>
      </c>
      <c r="E2390" t="inlineStr">
        <is>
          <t>VENEZUELANOS</t>
        </is>
      </c>
      <c r="F2390" t="inlineStr">
        <is>
          <t>CIDADES</t>
        </is>
      </c>
      <c r="G2390" t="inlineStr">
        <is>
          <t>REDAÇÃO</t>
        </is>
      </c>
      <c r="H2390" t="inlineStr">
        <is>
          <t>CRISE NA VENEZUELA LEVA INDÍGENAS AO PARÁ</t>
        </is>
      </c>
      <c r="I2390" t="inlineStr">
        <is>
          <t>EM BELÉM, NO PARÁ, UM GRUPO DE 15 INDÍGENAS VENEZUELANOS DA ETNIA WARAO, EM SITUAÇÃO DE VULNERABILIDADE SOCIAL, VAI SER ENCAMINHADO PARA UM ABRIGO DO ESTADO.SÃO QUATRO FAMÍLIAS. SETE CRIANÇAS ESTÃO NO GRUPO. O CASO FOI LEVADO À SECRETARIA DE JUSTIÇA</t>
        </is>
      </c>
      <c r="J2390">
        <f>HYPERLINK("https://portalamazonia.com/noticias/cidades/crise-na-venezuela-leva-indigenas-ao-para", "URL")</f>
        <v/>
      </c>
      <c r="K2390">
        <f>HYPERLINK("https://raw.githubusercontent.com/marcosmapl/dataset_imigrantes/main/noticias_filtered/portal_amazonia/venezuelanos/2017/07_ago/html/8933.8933_1432.html", "HTML")</f>
        <v/>
      </c>
      <c r="L2390">
        <f>HYPERLINK("https://raw.githubusercontent.com/marcosmapl/dataset_imigrantes/main/noticias_filtered/portal_amazonia/venezuelanos/2017/07_ago/txt/8933.8933_1432.txt", "TXT")</f>
        <v/>
      </c>
    </row>
    <row r="2391">
      <c r="A2391" s="1" t="n">
        <v>2389</v>
      </c>
      <c r="B2391" t="n">
        <v>2017</v>
      </c>
      <c r="C2391" s="2" t="n">
        <v>42947.45144675926</v>
      </c>
      <c r="D2391" t="inlineStr">
        <is>
          <t>A CRITICA</t>
        </is>
      </c>
      <c r="E2391" t="inlineStr">
        <is>
          <t>VENEZUELANOS</t>
        </is>
      </c>
      <c r="F2391" t="inlineStr"/>
      <c r="G2391" t="inlineStr">
        <is>
          <t>REUTERS</t>
        </is>
      </c>
      <c r="H2391" t="inlineStr">
        <is>
          <t>PROTESTOS CONTRA ELEIÇÃO DE ASSEMBLEIA CONSTITUINTE NA VENEZUELA DEIXAM 10 MORTOS</t>
        </is>
      </c>
      <c r="I2391" t="inlineStr">
        <is>
          <t>INTERDITANDO ALGUMAS RUAS COM CORDAS OU BARRICADAS, MANIFESTANTES DE OPOSIÇÃO PROTESTARAM AO LONGO DO DIA, MAS FORAM REPELIDOS PELAS FORÇAS DE SEGURANÇA, NO DIA MAIS VIOLENTO DESDE QUE COMEÇOU AS MANIFESTAÇÕES</t>
        </is>
      </c>
      <c r="J2391">
        <f>HYPERLINK("https://www.acritica.com/protestos-contra-eleic-o-de-assembleia-constituinte-na-venezuela-deixam-10-mortos-1.196385", "URL")</f>
        <v/>
      </c>
      <c r="K2391">
        <f>HYPERLINK("https://raw.githubusercontent.com/marcosmapl/dataset_imigrantes/main/noticias_filtered/a_critica/venezuelanos/2017/06_jul/html/1.196385_510.html", "HTML")</f>
        <v/>
      </c>
      <c r="L2391">
        <f>HYPERLINK("https://raw.githubusercontent.com/marcosmapl/dataset_imigrantes/main/noticias_filtered/a_critica/venezuelanos/2017/06_jul/txt/1.196385_510.txt", "TXT")</f>
        <v/>
      </c>
    </row>
    <row r="2392">
      <c r="A2392" s="1" t="n">
        <v>2390</v>
      </c>
      <c r="B2392" t="n">
        <v>2017</v>
      </c>
      <c r="C2392" s="2" t="n">
        <v>42946.82361111111</v>
      </c>
      <c r="D2392" t="inlineStr">
        <is>
          <t>A CRITICA</t>
        </is>
      </c>
      <c r="E2392" t="inlineStr">
        <is>
          <t>VENEZUELANOS</t>
        </is>
      </c>
      <c r="F2392" t="inlineStr"/>
      <c r="G2392" t="inlineStr">
        <is>
          <t>ESTADÃO CONTEÚDO</t>
        </is>
      </c>
      <c r="H2392" t="inlineStr">
        <is>
          <t>MAIS DUAS PESSOAS MORREM EM PROTESTOS CONTRA VOTAÇÃO NA VENEZUELA</t>
        </is>
      </c>
      <c r="I2392" t="inlineStr">
        <is>
          <t>DURANTE A MANHÃ, AO MENOS TRÊS PESSOAS MORRERAM EM PROTESTOS CONTRA A CRIAÇÃO DA ASSEMBLEIA NACIONAL CONSTITUINTE</t>
        </is>
      </c>
      <c r="J2392">
        <f>HYPERLINK("https://www.acritica.com/mais-duas-pessoas-morrem-em-protestos-contra-votac-o-na-venezuela-1.196421", "URL")</f>
        <v/>
      </c>
      <c r="K2392">
        <f>HYPERLINK("https://raw.githubusercontent.com/marcosmapl/dataset_imigrantes/main/noticias_filtered/a_critica/venezuelanos/2017/06_jul/html/1.196421_477.html", "HTML")</f>
        <v/>
      </c>
      <c r="L2392">
        <f>HYPERLINK("https://raw.githubusercontent.com/marcosmapl/dataset_imigrantes/main/noticias_filtered/a_critica/venezuelanos/2017/06_jul/txt/1.196421_477.txt", "TXT")</f>
        <v/>
      </c>
    </row>
    <row r="2393">
      <c r="A2393" s="1" t="n">
        <v>2391</v>
      </c>
      <c r="B2393" t="n">
        <v>2017</v>
      </c>
      <c r="C2393" s="2" t="n">
        <v>42945.05763888889</v>
      </c>
      <c r="D2393" t="inlineStr">
        <is>
          <t>A CRITICA</t>
        </is>
      </c>
      <c r="E2393" t="inlineStr">
        <is>
          <t>VENEZUELANOS</t>
        </is>
      </c>
      <c r="F2393" t="inlineStr">
        <is>
          <t>AMAZONIA</t>
        </is>
      </c>
      <c r="G2393" t="inlineStr">
        <is>
          <t>SILANE SOUZA</t>
        </is>
      </c>
      <c r="H2393" t="inlineStr">
        <is>
          <t>SECRETÁRIO ALERTA QUE SÓ A FISCALIZAÇÃO CONTRA A DERRUBADA DA MATA NÃO É SOLUÇÃO</t>
        </is>
      </c>
      <c r="I2393" t="inlineStr">
        <is>
          <t>PARA ALFREDO SIRKIS É FUNDAMENTAL TER UMA SÉRIE DE MEDIDAS ECONÔMICAS PARA ESTIMULAR QUE AS PESSOAS NÃO DESMATEM A FLORESTA</t>
        </is>
      </c>
      <c r="J2393">
        <f>HYPERLINK("https://www.acritica.com/amazonia/secretario-alerta-que-so-a-fiscalizac-o-contra-a-derrubada-da-mata-n-o-e-soluc-o-1.196250", "URL")</f>
        <v/>
      </c>
      <c r="K2393">
        <f>HYPERLINK("https://raw.githubusercontent.com/marcosmapl/dataset_imigrantes/main/noticias_filtered/a_critica/venezuelanos/2017/06_jul/html/1.196250_1165.html", "HTML")</f>
        <v/>
      </c>
      <c r="L2393">
        <f>HYPERLINK("https://raw.githubusercontent.com/marcosmapl/dataset_imigrantes/main/noticias_filtered/a_critica/venezuelanos/2017/06_jul/txt/1.196250_1165.txt", "TXT")</f>
        <v/>
      </c>
    </row>
    <row r="2394">
      <c r="A2394" s="1" t="n">
        <v>2392</v>
      </c>
      <c r="B2394" t="n">
        <v>2017</v>
      </c>
      <c r="C2394" s="2" t="n">
        <v>42943.81377314815</v>
      </c>
      <c r="D2394" t="inlineStr">
        <is>
          <t>A CRITICA</t>
        </is>
      </c>
      <c r="E2394" t="inlineStr">
        <is>
          <t>VENEZUELANOS</t>
        </is>
      </c>
      <c r="F2394" t="inlineStr"/>
      <c r="G2394" t="inlineStr">
        <is>
          <t>ACRÍTICA.COM</t>
        </is>
      </c>
      <c r="H2394" t="inlineStr">
        <is>
          <t>OFICINA DISCUTE DIREITOS E DEVERES DE IMIGRANTES E REFUGIADOS NO BRASIL</t>
        </is>
      </c>
      <c r="I2394" t="inlineStr">
        <is>
          <t>A OFICINA ATENDE A SOLICITAÇÃO DA SEMMASDH E SEJUSC, POR MEIO DE UM CONJUNTO DE ATIVIDADES QUE ASSEGURAM A PROTEÇÃO DOS INDÍGENAS VENEZUELANOS</t>
        </is>
      </c>
      <c r="J2394">
        <f>HYPERLINK("https://www.acritica.com/oficina-discute-direitos-e-deveres-de-imigrantes-e-refugiados-no-brasil-1.195928", "URL")</f>
        <v/>
      </c>
      <c r="K2394">
        <f>HYPERLINK("https://raw.githubusercontent.com/marcosmapl/dataset_imigrantes/main/noticias_filtered/a_critica/venezuelanos/2017/06_jul/html/1.195928_850.html", "HTML")</f>
        <v/>
      </c>
      <c r="L2394">
        <f>HYPERLINK("https://raw.githubusercontent.com/marcosmapl/dataset_imigrantes/main/noticias_filtered/a_critica/venezuelanos/2017/06_jul/txt/1.195928_850.txt", "TXT")</f>
        <v/>
      </c>
    </row>
    <row r="2395">
      <c r="A2395" s="1" t="n">
        <v>2393</v>
      </c>
      <c r="B2395" t="n">
        <v>2017</v>
      </c>
      <c r="C2395" s="2" t="n">
        <v>42942.94251157407</v>
      </c>
      <c r="D2395" t="inlineStr">
        <is>
          <t>A CRITICA</t>
        </is>
      </c>
      <c r="E2395" t="inlineStr">
        <is>
          <t>VENEZUELANOS</t>
        </is>
      </c>
      <c r="F2395" t="inlineStr">
        <is>
          <t>MANAUS</t>
        </is>
      </c>
      <c r="G2395" t="inlineStr">
        <is>
          <t>FÁBIO OLIVEIRA</t>
        </is>
      </c>
      <c r="H2395" t="inlineStr">
        <is>
          <t>VENEZUELANOS SÃO PRESOS COM DROGAS E MUNIÇÃO NO CENTRO DE MANAUS</t>
        </is>
      </c>
      <c r="I2395" t="inlineStr">
        <is>
          <t>OS DOIS FORAM DENUNCIADOS À POLÍCIA CIVIL POR MEIO DO DISQUE DENÚNCIA, SEGUNDO INFORMOU O DELEGADO JEFF MAC DONALD, TITULAR DO 6º DIP</t>
        </is>
      </c>
      <c r="J2395">
        <f>HYPERLINK("https://www.acritica.com/manaus/venezuelanos-s-o-presos-com-drogas-e-munic-o-no-centro-de-manaus-1.195848", "URL")</f>
        <v/>
      </c>
      <c r="K2395">
        <f>HYPERLINK("https://raw.githubusercontent.com/marcosmapl/dataset_imigrantes/main/noticias_filtered/a_critica/venezuelanos/2017/06_jul/html/1.195848_1061.html", "HTML")</f>
        <v/>
      </c>
      <c r="L2395">
        <f>HYPERLINK("https://raw.githubusercontent.com/marcosmapl/dataset_imigrantes/main/noticias_filtered/a_critica/venezuelanos/2017/06_jul/txt/1.195848_1061.txt", "TXT")</f>
        <v/>
      </c>
    </row>
    <row r="2396">
      <c r="A2396" s="1" t="n">
        <v>2394</v>
      </c>
      <c r="B2396" t="n">
        <v>2017</v>
      </c>
      <c r="C2396" s="2" t="n">
        <v>42938.73461805555</v>
      </c>
      <c r="D2396" t="inlineStr">
        <is>
          <t>A CRITICA</t>
        </is>
      </c>
      <c r="E2396" t="inlineStr">
        <is>
          <t>VENEZUELANOS</t>
        </is>
      </c>
      <c r="F2396" t="inlineStr"/>
      <c r="G2396" t="inlineStr">
        <is>
          <t>AFP</t>
        </is>
      </c>
      <c r="H2396" t="inlineStr">
        <is>
          <t>OPOSIÇÃO MARCHA NA VENEZUELA EM APOIO À SUPREMA CORTE PARALELA</t>
        </is>
      </c>
      <c r="I2396" t="inlineStr">
        <is>
          <t>LEGISLATIVO NOMEOU, NA SEXTA-FEIRA, NOVOS MAGISTRADOS ALEGANDO QUE JUÍZES HAVIAM SIDO DESIGNADOS APENAS PARA SERVIR AO GOVERNO DE MADURO</t>
        </is>
      </c>
      <c r="J2396">
        <f>HYPERLINK("https://www.acritica.com/oposic-o-marcha-na-venezuela-em-apoio-a-suprema-corte-paralela-1.195335", "URL")</f>
        <v/>
      </c>
      <c r="K2396">
        <f>HYPERLINK("https://raw.githubusercontent.com/marcosmapl/dataset_imigrantes/main/noticias_filtered/a_critica/venezuelanos/2017/06_jul/html/1.195335_932.html", "HTML")</f>
        <v/>
      </c>
      <c r="L2396">
        <f>HYPERLINK("https://raw.githubusercontent.com/marcosmapl/dataset_imigrantes/main/noticias_filtered/a_critica/venezuelanos/2017/06_jul/txt/1.195335_932.txt", "TXT")</f>
        <v/>
      </c>
    </row>
    <row r="2397">
      <c r="A2397" s="1" t="n">
        <v>2395</v>
      </c>
      <c r="B2397" t="n">
        <v>2017</v>
      </c>
      <c r="C2397" s="2" t="n">
        <v>42934.91228009259</v>
      </c>
      <c r="D2397" t="inlineStr">
        <is>
          <t>A CRITICA</t>
        </is>
      </c>
      <c r="E2397" t="inlineStr">
        <is>
          <t>VENEZUELANOS</t>
        </is>
      </c>
      <c r="F2397" t="inlineStr"/>
      <c r="G2397" t="inlineStr">
        <is>
          <t>MARIANA TOKARNIA – AGÊNCIA BRASIL</t>
        </is>
      </c>
      <c r="H2397" t="inlineStr">
        <is>
          <t>BRASIL É O SEGUNDO PAÍS QUE MAIS RECEBE REFUGIADOS VENEZUELANOS, DIZ ACNUR</t>
        </is>
      </c>
      <c r="I2397" t="inlineStr">
        <is>
          <t>ESTIMA-SE QUE 30 MIL ESTEJAM EM SITUAÇÃO IRREGULAR NO BRASIL, 300 MIL NA COLÔMBIA E 40 MIL EM TRINIDAD E TOBAGO</t>
        </is>
      </c>
      <c r="J2397">
        <f>HYPERLINK("https://www.acritica.com/brasil-e-o-segundo-pais-que-mais-recebe-refugiados-venezuelanos-diz-acnur-1.194948", "URL")</f>
        <v/>
      </c>
      <c r="K2397">
        <f>HYPERLINK("https://raw.githubusercontent.com/marcosmapl/dataset_imigrantes/main/noticias_filtered/a_critica/venezuelanos/2017/06_jul/html/1.194948_1114.html", "HTML")</f>
        <v/>
      </c>
      <c r="L2397">
        <f>HYPERLINK("https://raw.githubusercontent.com/marcosmapl/dataset_imigrantes/main/noticias_filtered/a_critica/venezuelanos/2017/06_jul/txt/1.194948_1114.txt", "TXT")</f>
        <v/>
      </c>
    </row>
    <row r="2398">
      <c r="A2398" s="1" t="n">
        <v>2396</v>
      </c>
      <c r="B2398" t="n">
        <v>2017</v>
      </c>
      <c r="C2398" s="2" t="n">
        <v>42933.63333333333</v>
      </c>
      <c r="D2398" t="inlineStr">
        <is>
          <t>PORTAL AMAZONIA</t>
        </is>
      </c>
      <c r="E2398" t="inlineStr">
        <is>
          <t>VENEZUELANOS</t>
        </is>
      </c>
      <c r="F2398" t="inlineStr">
        <is>
          <t>CIDADES</t>
        </is>
      </c>
      <c r="G2398" t="inlineStr">
        <is>
          <t>REDAÇÃO</t>
        </is>
      </c>
      <c r="H2398" t="inlineStr">
        <is>
          <t>CORRENTE EM RESERVA INDÍGENA SERÁ RETIRADA DE FRONTEIRA ENTRE RORAIMA E AMAZONAS</t>
        </is>
      </c>
      <c r="I2398" t="inlineStr">
        <is>
          <t>POR MEIO DAS REDES SOCIAIS, O DEPUTADO REMÍDIO MONAI (PR) DIVULGOU O ANÚNCIO DO MINISTRO DOS TRANSPORTES, MAURÍCIO QUINTELLA, SOBRE O FIM DA CORRENTE NA BARREIRA DO JUNDIÁ, EM RORAIMA. SEGUNDO O DEPUTADO, A CORRENTE QUE FOI IMPOSTA HÁ DÉCADAS PELOS I</t>
        </is>
      </c>
      <c r="J2398">
        <f>HYPERLINK("https://portalamazonia.com/noticias/cidades/corrente-em-reserva-indigena-sera-retirada-de-fronteira-entre-roraima-e-amazonas", "URL")</f>
        <v/>
      </c>
      <c r="K2398">
        <f>HYPERLINK("https://raw.githubusercontent.com/marcosmapl/dataset_imigrantes/main/noticias_filtered/portal_amazonia/venezuelanos/2017/06_jul/html/8668.8668_1400.html", "HTML")</f>
        <v/>
      </c>
      <c r="L2398">
        <f>HYPERLINK("https://raw.githubusercontent.com/marcosmapl/dataset_imigrantes/main/noticias_filtered/portal_amazonia/venezuelanos/2017/06_jul/txt/8668.8668_1400.txt", "TXT")</f>
        <v/>
      </c>
    </row>
    <row r="2399">
      <c r="A2399" s="1" t="n">
        <v>2397</v>
      </c>
      <c r="B2399" t="n">
        <v>2017</v>
      </c>
      <c r="C2399" s="2" t="n">
        <v>42932.49583333333</v>
      </c>
      <c r="D2399" t="inlineStr">
        <is>
          <t>A CRITICA</t>
        </is>
      </c>
      <c r="E2399" t="inlineStr">
        <is>
          <t>VENEZUELANOS</t>
        </is>
      </c>
      <c r="F2399" t="inlineStr">
        <is>
          <t>MANAUS</t>
        </is>
      </c>
      <c r="G2399" t="inlineStr">
        <is>
          <t>KELLY MELO</t>
        </is>
      </c>
      <c r="H2399" t="inlineStr">
        <is>
          <t>OELA ENSINA CRIANÇAS E JOVENS A CONSTRUÍREM SEUS PRÓPRIOS VIOLINOS DE MADEIRA MANEJADA</t>
        </is>
      </c>
      <c r="I2399" t="inlineStr">
        <is>
          <t>A ONG FOI PRIMEIRA ESCOLA DO MUNDO A CONQUISTAR O SELO INTERNACIONAL QUE RECONHECE O USO DE MADEIRAS CERTIFICADAS PARA CONSTRUIR VIOLÕES E VIOLINOS.</t>
        </is>
      </c>
      <c r="J2399">
        <f>HYPERLINK("https://www.acritica.com/manaus/oela-ensina-criancas-e-jovens-a-construirem-seus-proprios-violinos-de-madeira-manejada-1.194319", "URL")</f>
        <v/>
      </c>
      <c r="K2399">
        <f>HYPERLINK("https://raw.githubusercontent.com/marcosmapl/dataset_imigrantes/main/noticias_filtered/a_critica/venezuelanos/2017/06_jul/html/1.194319_368.html", "HTML")</f>
        <v/>
      </c>
      <c r="L2399">
        <f>HYPERLINK("https://raw.githubusercontent.com/marcosmapl/dataset_imigrantes/main/noticias_filtered/a_critica/venezuelanos/2017/06_jul/txt/1.194319_368.txt", "TXT")</f>
        <v/>
      </c>
    </row>
    <row r="2400">
      <c r="A2400" s="1" t="n">
        <v>2398</v>
      </c>
      <c r="B2400" t="n">
        <v>2017</v>
      </c>
      <c r="C2400" s="2" t="n">
        <v>42930.87013888889</v>
      </c>
      <c r="D2400" t="inlineStr">
        <is>
          <t>A CRITICA</t>
        </is>
      </c>
      <c r="E2400" t="inlineStr">
        <is>
          <t>VENEZUELANOS</t>
        </is>
      </c>
      <c r="F2400" t="inlineStr">
        <is>
          <t>MANAUS</t>
        </is>
      </c>
      <c r="G2400" t="inlineStr">
        <is>
          <t>ACRÍTICA.COM</t>
        </is>
      </c>
      <c r="H2400" t="inlineStr">
        <is>
          <t>MAIS DE 200 INDÍGENAS VENEZUELANOS SÃO ABRIGADOS EM QUATRO BAIRROS DA CIDADE</t>
        </is>
      </c>
      <c r="I2400" t="inlineStr">
        <is>
          <t>FAMÍLIAS DE REFUGIADOS FORAM ACOLHIDAS NA REDENÇÃO, EDUCANDOS, CIDADE NOVA E CIDADE NOVA II</t>
        </is>
      </c>
      <c r="J2400">
        <f>HYPERLINK("https://www.acritica.com/manaus/mais-de-200-indigenas-venezuelanos-s-o-abrigados-em-quatro-bairros-da-cidade-1.194350", "URL")</f>
        <v/>
      </c>
      <c r="K2400">
        <f>HYPERLINK("https://raw.githubusercontent.com/marcosmapl/dataset_imigrantes/main/noticias_filtered/a_critica/venezuelanos/2017/06_jul/html/1.194350_797.html", "HTML")</f>
        <v/>
      </c>
      <c r="L2400">
        <f>HYPERLINK("https://raw.githubusercontent.com/marcosmapl/dataset_imigrantes/main/noticias_filtered/a_critica/venezuelanos/2017/06_jul/txt/1.194350_797.txt", "TXT")</f>
        <v/>
      </c>
    </row>
    <row r="2401">
      <c r="A2401" s="1" t="n">
        <v>2399</v>
      </c>
      <c r="B2401" t="n">
        <v>2017</v>
      </c>
      <c r="C2401" s="2" t="n">
        <v>42930.56805555556</v>
      </c>
      <c r="D2401" t="inlineStr">
        <is>
          <t>PORTAL AMAZONIA</t>
        </is>
      </c>
      <c r="E2401" t="inlineStr">
        <is>
          <t>VENEZUELANOS</t>
        </is>
      </c>
      <c r="F2401" t="inlineStr">
        <is>
          <t>CIDADES</t>
        </is>
      </c>
      <c r="G2401" t="inlineStr">
        <is>
          <t>REDAÇÃO</t>
        </is>
      </c>
      <c r="H2401" t="inlineStr">
        <is>
          <t>VENEZUELANOS DA ETNIA WARAO SERÃO TRANSFERIDOS PARA RESIDÊNCIAS EM MANAUS</t>
        </is>
      </c>
      <c r="I2401" t="inlineStr">
        <is>
          <t>MAIS DE CEM INDÍGENAS VENEZUELANOS DA ETNIA WARAO, QUE VIVEM ATUALMENTE EM PRÉDIOS ANTIGOS NAS RUAS QUINTINO BOCAIÚVA E DR. ALMINO AFONSO, NO CENTRO DE MANAUS, SERÃO TRANSFERIDOS PARA ABRIGOS NESTA SEXTA-FEIRA (14). DE ACORDO COM REPORTAGEM PUBL</t>
        </is>
      </c>
      <c r="J2401">
        <f>HYPERLINK("https://portalamazonia.com/noticias/cidades/venezuelanos-da-etnia-warao-serao-transferidos-para-residencias-em-manaus", "URL")</f>
        <v/>
      </c>
      <c r="K2401">
        <f>HYPERLINK("https://raw.githubusercontent.com/marcosmapl/dataset_imigrantes/main/noticias_filtered/portal_amazonia/venezuelanos/2017/06_jul/html/8632.8632_1604.html", "HTML")</f>
        <v/>
      </c>
      <c r="L2401">
        <f>HYPERLINK("https://raw.githubusercontent.com/marcosmapl/dataset_imigrantes/main/noticias_filtered/portal_amazonia/venezuelanos/2017/06_jul/txt/8632.8632_1604.txt", "TXT")</f>
        <v/>
      </c>
    </row>
    <row r="2402">
      <c r="A2402" s="1" t="n">
        <v>2400</v>
      </c>
      <c r="B2402" t="n">
        <v>2017</v>
      </c>
      <c r="C2402" s="2" t="n">
        <v>42925.74513888889</v>
      </c>
      <c r="D2402" t="inlineStr">
        <is>
          <t>PORTAL AMAZONIA</t>
        </is>
      </c>
      <c r="E2402" t="inlineStr">
        <is>
          <t>VENEZUELANOS</t>
        </is>
      </c>
      <c r="F2402" t="inlineStr">
        <is>
          <t>CIDADES</t>
        </is>
      </c>
      <c r="G2402" t="inlineStr">
        <is>
          <t>REDAÇÃO</t>
        </is>
      </c>
      <c r="H2402" t="inlineStr">
        <is>
          <t>MINISTRO VISITA ABRIGO ONDE ESTÃO INDÍGENAS VENEZUELANOS</t>
        </is>
      </c>
      <c r="I2402" t="inlineStr">
        <is>
          <t>O MINISTRO DA JUSTIÇA, TORQUATO JARDIM, E O PRESIDENTE DA FUNDAÇÃO NACIONAL DO ÍNDIO (FUNAI), FRANKLIMBERG DE FREITAS, VISITARAM NESTE SÁBADO (8) O ABRIGO ONDE ESTÃO OS INDÍGENAS VENEZUELANOS WARAO, NO BAIRRO COROADO, EM MANAUS. O LOCAL FOI REFORMADO</t>
        </is>
      </c>
      <c r="J2402">
        <f>HYPERLINK("https://portalamazonia.com/noticias/cidades/ministro-visita-abrigo-onde-estao-indigenas-venezuelanos", "URL")</f>
        <v/>
      </c>
      <c r="K2402">
        <f>HYPERLINK("https://raw.githubusercontent.com/marcosmapl/dataset_imigrantes/main/noticias_filtered/portal_amazonia/venezuelanos/2017/06_jul/html/8548.8548_1548.html", "HTML")</f>
        <v/>
      </c>
      <c r="L2402">
        <f>HYPERLINK("https://raw.githubusercontent.com/marcosmapl/dataset_imigrantes/main/noticias_filtered/portal_amazonia/venezuelanos/2017/06_jul/txt/8548.8548_1548.txt", "TXT")</f>
        <v/>
      </c>
    </row>
    <row r="2403">
      <c r="A2403" s="1" t="n">
        <v>2401</v>
      </c>
      <c r="B2403" t="n">
        <v>2017</v>
      </c>
      <c r="C2403" s="2" t="n">
        <v>42923.74930555555</v>
      </c>
      <c r="D2403" t="inlineStr">
        <is>
          <t>A CRITICA</t>
        </is>
      </c>
      <c r="E2403" t="inlineStr">
        <is>
          <t>VENEZUELANOS</t>
        </is>
      </c>
      <c r="F2403" t="inlineStr"/>
      <c r="G2403" t="inlineStr">
        <is>
          <t>ACRÍTICA.COM</t>
        </is>
      </c>
      <c r="H2403" t="inlineStr">
        <is>
          <t>UNIÃO SE COMPROMETE A REPASSAR RECURSOS PARA INDÍGENAS VENEZUELANOS ATÉ O DIA 14</t>
        </is>
      </c>
      <c r="I2403" t="inlineStr">
        <is>
          <t>MINISTÉRIO DO DESENVOLVIMENTO SOCIAL ANUNCIOU DATA EM REUNIÃO REALIZADA ONTEM PELO MPF; RECURSO DEVERÁ SER DESTINADO, ENTRE OUTRAS AÇÕES, AO ABRIGO EMERGENCIAL DOS MIGRANTES</t>
        </is>
      </c>
      <c r="J2403">
        <f>HYPERLINK("https://www.acritica.com/uni-o-se-compromete-a-repassar-recursos-para-indigenas-venezuelanos-ate-o-dia-14-1.86035", "URL")</f>
        <v/>
      </c>
      <c r="K2403">
        <f>HYPERLINK("https://raw.githubusercontent.com/marcosmapl/dataset_imigrantes/main/noticias_filtered/a_critica/venezuelanos/2017/06_jul/html/1.86035_1158.html", "HTML")</f>
        <v/>
      </c>
      <c r="L2403">
        <f>HYPERLINK("https://raw.githubusercontent.com/marcosmapl/dataset_imigrantes/main/noticias_filtered/a_critica/venezuelanos/2017/06_jul/txt/1.86035_1158.txt", "TXT")</f>
        <v/>
      </c>
    </row>
    <row r="2404">
      <c r="A2404" s="1" t="n">
        <v>2402</v>
      </c>
      <c r="B2404" t="n">
        <v>2017</v>
      </c>
      <c r="C2404" s="2" t="n">
        <v>42922.83519675926</v>
      </c>
      <c r="D2404" t="inlineStr">
        <is>
          <t>A CRITICA</t>
        </is>
      </c>
      <c r="E2404" t="inlineStr">
        <is>
          <t>VENEZUELANOS</t>
        </is>
      </c>
      <c r="F2404" t="inlineStr"/>
      <c r="G2404" t="inlineStr">
        <is>
          <t>ACRÍTICA.COM</t>
        </is>
      </c>
      <c r="H2404" t="inlineStr">
        <is>
          <t>MINISTRO DA JUSTIÇA E PRESIDENTE DA FUNAI VÊM AO NORTE OUVIR LIDERANÇAS INDÍGENAS</t>
        </is>
      </c>
      <c r="I2404" t="inlineStr">
        <is>
          <t>COMITIVA  VISITARÁ COMUNIDADES INDÍGENAS E SE REUNIRÁ COM LIDERANÇAS DE MANAUS (AM) E BOA VISTA (RR). A PAUTA TEM AINDA REUNIÕES COM OS GOVERNOS LOCAIS.</t>
        </is>
      </c>
      <c r="J2404">
        <f>HYPERLINK("https://www.acritica.com/ministro-da-justica-e-presidente-da-funai-vem-ao-norte-ouvir-liderancas-indigenas-1.86087", "URL")</f>
        <v/>
      </c>
      <c r="K2404">
        <f>HYPERLINK("https://raw.githubusercontent.com/marcosmapl/dataset_imigrantes/main/noticias_filtered/a_critica/venezuelanos/2017/06_jul/html/1.86087_221.html", "HTML")</f>
        <v/>
      </c>
      <c r="L2404">
        <f>HYPERLINK("https://raw.githubusercontent.com/marcosmapl/dataset_imigrantes/main/noticias_filtered/a_critica/venezuelanos/2017/06_jul/txt/1.86087_221.txt", "TXT")</f>
        <v/>
      </c>
    </row>
    <row r="2405">
      <c r="A2405" s="1" t="n">
        <v>2403</v>
      </c>
      <c r="B2405" t="n">
        <v>2017</v>
      </c>
      <c r="C2405" s="2" t="n">
        <v>42917.88658564815</v>
      </c>
      <c r="D2405" t="inlineStr">
        <is>
          <t>A CRITICA</t>
        </is>
      </c>
      <c r="E2405" t="inlineStr">
        <is>
          <t>VENEZUELANOS</t>
        </is>
      </c>
      <c r="F2405" t="inlineStr"/>
      <c r="G2405" t="inlineStr">
        <is>
          <t>AGÊNCIA BRASIL</t>
        </is>
      </c>
      <c r="H2405" t="inlineStr">
        <is>
          <t>POLÍCIA FEDERAL PRENDE UM DOS MAIORES TRAFICANTES DE DROGA DA AMÉRICA DO SUL</t>
        </is>
      </c>
      <c r="I2405" t="inlineStr">
        <is>
          <t>LUIZ CARLOS DA ROCHA, CONHECIDO COMO CABEÇA BRANCA, É UM DOS TRAFICANTES MAIS PROCURADOS PELA PF E A INTERPOL</t>
        </is>
      </c>
      <c r="J2405">
        <f>HYPERLINK("https://www.acritica.com/policia-federal-prende-um-dos-maiores-traficantes-de-droga-da-america-do-sul-1.200701", "URL")</f>
        <v/>
      </c>
      <c r="K2405">
        <f>HYPERLINK("https://raw.githubusercontent.com/marcosmapl/dataset_imigrantes/main/noticias_filtered/a_critica/venezuelanos/2017/06_jul/html/1.200701_884.html", "HTML")</f>
        <v/>
      </c>
      <c r="L2405">
        <f>HYPERLINK("https://raw.githubusercontent.com/marcosmapl/dataset_imigrantes/main/noticias_filtered/a_critica/venezuelanos/2017/06_jul/txt/1.200701_884.txt", "TXT")</f>
        <v/>
      </c>
    </row>
    <row r="2406">
      <c r="A2406" s="1" t="n">
        <v>2404</v>
      </c>
      <c r="B2406" t="n">
        <v>2017</v>
      </c>
      <c r="C2406" s="2" t="n">
        <v>42917.33333333334</v>
      </c>
      <c r="D2406" t="inlineStr">
        <is>
          <t>A CRITICA</t>
        </is>
      </c>
      <c r="E2406" t="inlineStr">
        <is>
          <t>VENEZUELANOS</t>
        </is>
      </c>
      <c r="F2406" t="inlineStr"/>
      <c r="G2406" t="inlineStr">
        <is>
          <t>ACRÍTICA.COM</t>
        </is>
      </c>
      <c r="H2406" t="inlineStr">
        <is>
          <t>MPF/AM E UFAM PROMOVEM SEMINÁRIO SOBRE POVOS INDÍGENAS E POLÍTICAS PÚBLICAS</t>
        </is>
      </c>
      <c r="I2406" t="inlineStr">
        <is>
          <t>A PROGRAMAÇÃO CONTA COM A REALIZAÇÃO DE QUATRO MESAS DE DEBATE, PARA DISCUTIR TEMAS COMO A PRESENÇA DOS POVOS INDÍGENAS NA CIDADE E AUSÊNCIA DE POLÍTICAS PÚBLICAS ESPECÍFICAS</t>
        </is>
      </c>
      <c r="J2406">
        <f>HYPERLINK("https://www.acritica.com/mpf-am-e-ufam-promovem-seminario-sobre-povos-indigenas-e-politicas-publicas-1.200873", "URL")</f>
        <v/>
      </c>
      <c r="K2406">
        <f>HYPERLINK("https://raw.githubusercontent.com/marcosmapl/dataset_imigrantes/main/noticias_filtered/a_critica/venezuelanos/2017/06_jul/html/1.200873_129.html", "HTML")</f>
        <v/>
      </c>
      <c r="L2406">
        <f>HYPERLINK("https://raw.githubusercontent.com/marcosmapl/dataset_imigrantes/main/noticias_filtered/a_critica/venezuelanos/2017/06_jul/txt/1.200873_129.txt", "TXT")</f>
        <v/>
      </c>
    </row>
    <row r="2407">
      <c r="A2407" s="1" t="n">
        <v>2405</v>
      </c>
      <c r="B2407" t="n">
        <v>2017</v>
      </c>
      <c r="C2407" s="2" t="n">
        <v>42916.75795333333</v>
      </c>
      <c r="D2407" t="inlineStr">
        <is>
          <t>G1</t>
        </is>
      </c>
      <c r="E2407" t="inlineStr">
        <is>
          <t>HAITIANOS</t>
        </is>
      </c>
      <c r="F2407" t="inlineStr">
        <is>
          <t>MATO GROSSO</t>
        </is>
      </c>
      <c r="G2407" t="inlineStr">
        <is>
          <t>BRUNA BARBOSA*, G1 MT</t>
        </is>
      </c>
      <c r="H2407" t="inlineStr">
        <is>
          <t>TRABALHADORA QUE ERA MODELO NO HAITI DENUNCIA PADARIA DE CUIABÁ</t>
        </is>
      </c>
      <c r="I2407" t="inlineStr">
        <is>
          <t>NAJEDA REDON, DE 23 ANOS, PROTOCOLOU DENÚNCIA NO MPT E CASO ESTÁ SENDO INVESTIGADO. ELA DISSE QUE SÓ PODIA IR AO BANHEIRO E TOMAR ÁGUA COM AUTORIZAÇÃO.</t>
        </is>
      </c>
      <c r="J2407">
        <f>HYPERLINK("https://g1.globo.com/mato-grosso/noticia/jovem-que-era-modelo-no-haiti-denuncia-padaria-de-cuiaba-por-situacao-analoga-a-escravidao.ghtml", "URL")</f>
        <v/>
      </c>
      <c r="K2407">
        <f>HYPERLINK("https://raw.githubusercontent.com/marcosmapl/dataset_imigrantes/main/noticias_filtered/g1/haitianos/2017/05_jun/html/g1_88eeeecc-2329-11ed-b24f-6dbe51e79fca_4122.html", "HTML")</f>
        <v/>
      </c>
      <c r="L2407">
        <f>HYPERLINK("https://raw.githubusercontent.com/marcosmapl/dataset_imigrantes/main/noticias_filtered/g1/haitianos/2017/05_jun/txt/g1_88eeeecc-2329-11ed-b24f-6dbe51e79fca_4122.txt", "TXT")</f>
        <v/>
      </c>
    </row>
    <row r="2408">
      <c r="A2408" s="1" t="n">
        <v>2406</v>
      </c>
      <c r="B2408" t="n">
        <v>2017</v>
      </c>
      <c r="C2408" s="2" t="n">
        <v>42909.54499052083</v>
      </c>
      <c r="D2408" t="inlineStr">
        <is>
          <t>G1</t>
        </is>
      </c>
      <c r="E2408" t="inlineStr">
        <is>
          <t>VENEZUELANOS</t>
        </is>
      </c>
      <c r="F2408" t="inlineStr">
        <is>
          <t>MUNDO</t>
        </is>
      </c>
      <c r="G2408" t="inlineStr">
        <is>
          <t>G1</t>
        </is>
      </c>
      <c r="H2408" t="inlineStr">
        <is>
          <t>GUARDA NACIONAL DA VENEZUELA EXECUTA MANIFESTANTE DURANTE PROTESTO CONTRA GOVERNO</t>
        </is>
      </c>
      <c r="I2408" t="inlineStr">
        <is>
          <t>JOVEM DE 22 ANOS FOI ATINGIDO POR UM TIRO NO CORAÇÃO, SEGUNDO OPOSIÇÃO. NOS ÚLTIMOS TRÊS MESES, 75 PESSOAS FORAM MORTAS EM PROTESTOS CONTRA NICOLAS MADURO.</t>
        </is>
      </c>
      <c r="J2408">
        <f>HYPERLINK("https://g1.globo.com/mundo/noticia/guarda-nacional-da-venezuela-executa-manifestante-durante-protesto-contra-governo.ghtml", "URL")</f>
        <v/>
      </c>
      <c r="K2408">
        <f>HYPERLINK("https://raw.githubusercontent.com/marcosmapl/dataset_imigrantes/main/noticias_filtered/g1/venezuelanos/2017/05_jun/html/g1_275e8500-2324-11ed-b24f-6dbe51e79fca_3852.html", "HTML")</f>
        <v/>
      </c>
      <c r="L2408">
        <f>HYPERLINK("https://raw.githubusercontent.com/marcosmapl/dataset_imigrantes/main/noticias_filtered/g1/venezuelanos/2017/05_jun/txt/g1_275e8500-2324-11ed-b24f-6dbe51e79fca_3852.txt", "TXT")</f>
        <v/>
      </c>
    </row>
    <row r="2409">
      <c r="A2409" s="1" t="n">
        <v>2407</v>
      </c>
      <c r="B2409" t="n">
        <v>2017</v>
      </c>
      <c r="C2409" s="2" t="n">
        <v>42906.52400462963</v>
      </c>
      <c r="D2409" t="inlineStr">
        <is>
          <t>A CRITICA</t>
        </is>
      </c>
      <c r="E2409" t="inlineStr">
        <is>
          <t>VENEZUELANOS</t>
        </is>
      </c>
      <c r="F2409" t="inlineStr"/>
      <c r="G2409" t="inlineStr">
        <is>
          <t>MAÍRA HEINEN -  RÁDIO NACIONAL</t>
        </is>
      </c>
      <c r="H2409" t="inlineStr">
        <is>
          <t>PEDIDOS DE REFÚGIO DE VENEZUELANOS NO BRASIL QUADRUPLICAM EM DOIS ANOS</t>
        </is>
      </c>
      <c r="I2409" t="inlineStr">
        <is>
          <t>O REFÚGIO É UMA PROTEÇÃO LEGAL QUE O BRASIL OFERECE A CIDADÃOS QUE ESTEJAM SOFRENDO PERSEGUIÇÃO NO PRÓPRIO PAÍS POR MOTIVOS DE RAÇA, RELIGIÃO, NACIONALIDADE, GRUPO SOCIAL OU OPINIÕES POLÍTICAS</t>
        </is>
      </c>
      <c r="J2409">
        <f>HYPERLINK("https://www.acritica.com/pedidos-de-refugio-de-venezuelanos-no-brasil-quadruplicam-em-dois-anos-1.192879", "URL")</f>
        <v/>
      </c>
      <c r="K2409">
        <f>HYPERLINK("https://raw.githubusercontent.com/marcosmapl/dataset_imigrantes/main/noticias_filtered/a_critica/venezuelanos/2017/05_jun/html/1.192879_428.html", "HTML")</f>
        <v/>
      </c>
      <c r="L2409">
        <f>HYPERLINK("https://raw.githubusercontent.com/marcosmapl/dataset_imigrantes/main/noticias_filtered/a_critica/venezuelanos/2017/05_jun/txt/1.192879_428.txt", "TXT")</f>
        <v/>
      </c>
    </row>
    <row r="2410">
      <c r="A2410" s="1" t="n">
        <v>2408</v>
      </c>
      <c r="B2410" t="n">
        <v>2017</v>
      </c>
      <c r="C2410" s="2" t="n">
        <v>42900.60570601852</v>
      </c>
      <c r="D2410" t="inlineStr">
        <is>
          <t>A CRITICA</t>
        </is>
      </c>
      <c r="E2410" t="inlineStr">
        <is>
          <t>VENEZUELANOS</t>
        </is>
      </c>
      <c r="F2410" t="inlineStr">
        <is>
          <t>MANAUS</t>
        </is>
      </c>
      <c r="G2410" t="inlineStr">
        <is>
          <t>LUANA GOMES</t>
        </is>
      </c>
      <c r="H2410" t="inlineStr">
        <is>
          <t>ENCONTRO DISCUTE ALTERNATIVAS PARA ATENDER INDÍGENAS VENEZUELANOS EM MANAUS</t>
        </is>
      </c>
      <c r="I2410" t="inlineStr">
        <is>
          <t>ATUALMENTE, 520 ÍNDIOS ESTÃO SENDO ACOMPANHADOS PELA GERÊNCIA DE MIGRAÇÃO, REFÚGIO, ENFRENTAMENTO AO TRÁFICO DE PESSOAS E TRABALHO ESCRAVO DA SEJUSC</t>
        </is>
      </c>
      <c r="J2410">
        <f>HYPERLINK("https://www.acritica.com/manaus/encontro-discute-alternativas-para-atender-indigenas-venezuelanos-em-manaus-1.191400", "URL")</f>
        <v/>
      </c>
      <c r="K2410">
        <f>HYPERLINK("https://raw.githubusercontent.com/marcosmapl/dataset_imigrantes/main/noticias_filtered/a_critica/venezuelanos/2017/05_jun/html/1.191400_506.html", "HTML")</f>
        <v/>
      </c>
      <c r="L2410">
        <f>HYPERLINK("https://raw.githubusercontent.com/marcosmapl/dataset_imigrantes/main/noticias_filtered/a_critica/venezuelanos/2017/05_jun/txt/1.191400_506.txt", "TXT")</f>
        <v/>
      </c>
    </row>
    <row r="2411">
      <c r="A2411" s="1" t="n">
        <v>2409</v>
      </c>
      <c r="B2411" t="n">
        <v>2017</v>
      </c>
      <c r="C2411" s="2" t="n">
        <v>42900.33333333334</v>
      </c>
      <c r="D2411" t="inlineStr">
        <is>
          <t>A CRITICA</t>
        </is>
      </c>
      <c r="E2411" t="inlineStr">
        <is>
          <t>HAITIANOS</t>
        </is>
      </c>
      <c r="F2411" t="inlineStr">
        <is>
          <t>MANAUS</t>
        </is>
      </c>
      <c r="G2411" t="inlineStr">
        <is>
          <t>ISABELLE VALOIS</t>
        </is>
      </c>
      <c r="H2411" t="inlineStr">
        <is>
          <t>CONFUSÃO REINA ABSOLUTA NA REGIÃO DA MANAUS MODERNA, NO CENTRO DE MANAUS</t>
        </is>
      </c>
      <c r="I2411" t="inlineStr">
        <is>
          <t>SUBIDA DAS ÁGUAS DO RIO NEGRO POTENCIALIZOU OS PROBLEMAS DE TRÂNSITO, A FALTA DE MOBILIDADE DE PEDESTRES E O COMÉRCIO ILEGAL EM EMBARCAÇÕES</t>
        </is>
      </c>
      <c r="J2411">
        <f>HYPERLINK("https://www.acritica.com/manaus/confus-o-reina-absoluta-na-regi-o-da-manaus-moderna-no-centro-de-manaus-1.191422", "URL")</f>
        <v/>
      </c>
      <c r="K2411">
        <f>HYPERLINK("https://raw.githubusercontent.com/marcosmapl/dataset_imigrantes/main/noticias_filtered/a_critica/haitianos/2017/05_jun/html/1.191422_945.html", "HTML")</f>
        <v/>
      </c>
      <c r="L2411">
        <f>HYPERLINK("https://raw.githubusercontent.com/marcosmapl/dataset_imigrantes/main/noticias_filtered/a_critica/haitianos/2017/05_jun/txt/1.191422_945.txt", "TXT")</f>
        <v/>
      </c>
    </row>
    <row r="2412">
      <c r="A2412" s="1" t="n">
        <v>2410</v>
      </c>
      <c r="B2412" t="n">
        <v>2017</v>
      </c>
      <c r="C2412" s="2" t="n">
        <v>42900.33333333334</v>
      </c>
      <c r="D2412" t="inlineStr">
        <is>
          <t>A CRITICA</t>
        </is>
      </c>
      <c r="E2412" t="inlineStr">
        <is>
          <t>VENEZUELANOS</t>
        </is>
      </c>
      <c r="F2412" t="inlineStr">
        <is>
          <t>MANAUS</t>
        </is>
      </c>
      <c r="G2412" t="inlineStr">
        <is>
          <t>PAULO ANDRÉ NUNES</t>
        </is>
      </c>
      <c r="H2412" t="inlineStr">
        <is>
          <t>VENEZUELANOS ABRIGADOS EM MANAUS PLANEJAM CRIAR ASSOCIAÇÃO</t>
        </is>
      </c>
      <c r="I2412" t="inlineStr">
        <is>
          <t>INDÍGENAS, QUE ESTÃO EM ABRIGO DA ZONA LESTE DE MANAUS, QUEREM PRODUZIR PRODUTOS PARA VENDER</t>
        </is>
      </c>
      <c r="J2412">
        <f>HYPERLINK("https://www.acritica.com/manaus/venezuelanos-abrigados-em-manaus-planejam-criar-associac-o-1.191424", "URL")</f>
        <v/>
      </c>
      <c r="K2412">
        <f>HYPERLINK("https://raw.githubusercontent.com/marcosmapl/dataset_imigrantes/main/noticias_filtered/a_critica/venezuelanos/2017/05_jun/html/1.191424_413.html", "HTML")</f>
        <v/>
      </c>
      <c r="L2412">
        <f>HYPERLINK("https://raw.githubusercontent.com/marcosmapl/dataset_imigrantes/main/noticias_filtered/a_critica/venezuelanos/2017/05_jun/txt/1.191424_413.txt", "TXT")</f>
        <v/>
      </c>
    </row>
    <row r="2413">
      <c r="A2413" s="1" t="n">
        <v>2411</v>
      </c>
      <c r="B2413" t="n">
        <v>2017</v>
      </c>
      <c r="C2413" s="2" t="n">
        <v>42899.79375</v>
      </c>
      <c r="D2413" t="inlineStr">
        <is>
          <t>A CRITICA</t>
        </is>
      </c>
      <c r="E2413" t="inlineStr">
        <is>
          <t>VENEZUELANOS</t>
        </is>
      </c>
      <c r="F2413" t="inlineStr"/>
      <c r="G2413" t="inlineStr">
        <is>
          <t>ANTÔNIO PAULO</t>
        </is>
      </c>
      <c r="H2413" t="inlineStr">
        <is>
          <t>‘O SERVIÇO IRÁ MELHORAR COM O RETORNO DO CRESCIMENTO’, DIZ PRESIDENTE DA FUNAI</t>
        </is>
      </c>
      <c r="I2413" t="inlineStr">
        <is>
          <t>FRANKLIMBERG RIBEIRO DE FREITAS AFIRMA QUE JÁ TOMOU PROVIDÊNCIAS JUNTO AO GOVERNO PARA VIABILIZAR OS RECURSOS DAS DEMANDAS BÁSICAS DA POPULAÇÃO INDÍGENA</t>
        </is>
      </c>
      <c r="J2413">
        <f>HYPERLINK("https://www.acritica.com/o-servico-ira-melhorar-com-o-retorno-do-crescimento-diz-presidente-da-funai-1.191207", "URL")</f>
        <v/>
      </c>
      <c r="K2413">
        <f>HYPERLINK("https://raw.githubusercontent.com/marcosmapl/dataset_imigrantes/main/noticias_filtered/a_critica/venezuelanos/2017/05_jun/html/1.191207_847.html", "HTML")</f>
        <v/>
      </c>
      <c r="L2413">
        <f>HYPERLINK("https://raw.githubusercontent.com/marcosmapl/dataset_imigrantes/main/noticias_filtered/a_critica/venezuelanos/2017/05_jun/txt/1.191207_847.txt", "TXT")</f>
        <v/>
      </c>
    </row>
    <row r="2414">
      <c r="A2414" s="1" t="n">
        <v>2412</v>
      </c>
      <c r="B2414" t="n">
        <v>2017</v>
      </c>
      <c r="C2414" s="2" t="n">
        <v>42896.9255324074</v>
      </c>
      <c r="D2414" t="inlineStr">
        <is>
          <t>A CRITICA</t>
        </is>
      </c>
      <c r="E2414" t="inlineStr">
        <is>
          <t>VENEZUELANOS</t>
        </is>
      </c>
      <c r="F2414" t="inlineStr"/>
      <c r="G2414" t="inlineStr">
        <is>
          <t>AGÊNCIA BRASIL</t>
        </is>
      </c>
      <c r="H2414" t="inlineStr">
        <is>
          <t>JUSTIÇA DA VENEZUELA APROVA AÇÃO PARA MUDANÇA DE IDENTIDADE DE GÊNERO</t>
        </is>
      </c>
      <c r="I2414" t="inlineStr">
        <is>
          <t>A AÇÃO FOI MOVIDA POR UM GRUPO DE CIDADÃOS QUE REIVINDICA O DIREITO "À LIVRE EXTENSÃO DA PERSONALIDADE", PREVISTA NO ARTIGO 20 DA CONSTITUIÇÃO VENEZUELANA</t>
        </is>
      </c>
      <c r="J2414">
        <f>HYPERLINK("https://www.acritica.com/justica-da-venezuela-aprova-ac-o-para-mudanca-de-identidade-de-genero-1.191161", "URL")</f>
        <v/>
      </c>
      <c r="K2414">
        <f>HYPERLINK("https://raw.githubusercontent.com/marcosmapl/dataset_imigrantes/main/noticias_filtered/a_critica/venezuelanos/2017/05_jun/html/1.191161_1166.html", "HTML")</f>
        <v/>
      </c>
      <c r="L2414">
        <f>HYPERLINK("https://raw.githubusercontent.com/marcosmapl/dataset_imigrantes/main/noticias_filtered/a_critica/venezuelanos/2017/05_jun/txt/1.191161_1166.txt", "TXT")</f>
        <v/>
      </c>
    </row>
    <row r="2415">
      <c r="A2415" s="1" t="n">
        <v>2413</v>
      </c>
      <c r="B2415" t="n">
        <v>2017</v>
      </c>
      <c r="C2415" s="2" t="n">
        <v>42893.33333333334</v>
      </c>
      <c r="D2415" t="inlineStr">
        <is>
          <t>A CRITICA</t>
        </is>
      </c>
      <c r="E2415" t="inlineStr">
        <is>
          <t>VENEZUELANOS</t>
        </is>
      </c>
      <c r="F2415" t="inlineStr">
        <is>
          <t>MANAUS</t>
        </is>
      </c>
      <c r="G2415" t="inlineStr">
        <is>
          <t>SILANE SOUZA</t>
        </is>
      </c>
      <c r="H2415" t="inlineStr">
        <is>
          <t>INDÍGENAS VENEZUELANOS PEDEM MATÉRIA-PRIMA PARA CONFECÇÃO DE ARTESANATO</t>
        </is>
      </c>
      <c r="I2415" t="inlineStr">
        <is>
          <t>OBJETIVO DAS FAMÍLIAS É PRODUZIR AS PEÇAS PARA COMERCIALIZAÇÃO E PODER SE SUSTENTAR, SEM PRECISAR PEDIR DINHEIRO NAS RUAS DA CIDADE</t>
        </is>
      </c>
      <c r="J2415">
        <f>HYPERLINK("https://www.acritica.com/manaus/indigenas-venezuelanos-pedem-materia-prima-para-confecc-o-de-artesanato-1.190557", "URL")</f>
        <v/>
      </c>
      <c r="K2415">
        <f>HYPERLINK("https://raw.githubusercontent.com/marcosmapl/dataset_imigrantes/main/noticias_filtered/a_critica/venezuelanos/2017/05_jun/html/1.190557_1247.html", "HTML")</f>
        <v/>
      </c>
      <c r="L2415">
        <f>HYPERLINK("https://raw.githubusercontent.com/marcosmapl/dataset_imigrantes/main/noticias_filtered/a_critica/venezuelanos/2017/05_jun/txt/1.190557_1247.txt", "TXT")</f>
        <v/>
      </c>
    </row>
    <row r="2416">
      <c r="A2416" s="1" t="n">
        <v>2414</v>
      </c>
      <c r="B2416" t="n">
        <v>2017</v>
      </c>
      <c r="C2416" s="2" t="n">
        <v>42892.33333333334</v>
      </c>
      <c r="D2416" t="inlineStr">
        <is>
          <t>A CRITICA</t>
        </is>
      </c>
      <c r="E2416" t="inlineStr">
        <is>
          <t>VENEZUELANOS</t>
        </is>
      </c>
      <c r="F2416" t="inlineStr"/>
      <c r="G2416" t="inlineStr"/>
      <c r="H2416" t="inlineStr">
        <is>
          <t>'FATOR MELO' NO JULGAMENTO DE TEMER</t>
        </is>
      </c>
      <c r="I2416" t="inlineStr"/>
      <c r="J2416">
        <f>HYPERLINK("https://www.acritica.com/fator-melo-no-julgamento-de-temer-1.230894", "URL")</f>
        <v/>
      </c>
      <c r="K2416">
        <f>HYPERLINK("https://raw.githubusercontent.com/marcosmapl/dataset_imigrantes/main/noticias_filtered/a_critica/venezuelanos/2017/05_jun/html/1.230894_765.html", "HTML")</f>
        <v/>
      </c>
      <c r="L2416">
        <f>HYPERLINK("https://raw.githubusercontent.com/marcosmapl/dataset_imigrantes/main/noticias_filtered/a_critica/venezuelanos/2017/05_jun/txt/1.230894_765.txt", "TXT")</f>
        <v/>
      </c>
    </row>
    <row r="2417">
      <c r="A2417" s="1" t="n">
        <v>2415</v>
      </c>
      <c r="B2417" t="n">
        <v>2017</v>
      </c>
      <c r="C2417" s="2" t="n">
        <v>42891.06805555556</v>
      </c>
      <c r="D2417" t="inlineStr">
        <is>
          <t>A CRITICA</t>
        </is>
      </c>
      <c r="E2417" t="inlineStr">
        <is>
          <t>AMBOS</t>
        </is>
      </c>
      <c r="F2417" t="inlineStr">
        <is>
          <t>MANAUS</t>
        </is>
      </c>
      <c r="G2417" t="inlineStr">
        <is>
          <t>ISABELLE VALOIS</t>
        </is>
      </c>
      <c r="H2417" t="inlineStr">
        <is>
          <t>IMIGRANTES AJUDAM NA LIMPEZA DO SAMBÓDROMO APÓS FESTA DE PENTECOSTES</t>
        </is>
      </c>
      <c r="I2417" t="inlineStr">
        <is>
          <t>O GRUPO DE 100 PESSOAS RECEBEU UMA AJUDA DE CUSTO SIMBÓLICA PELA COLABORAÇÃO</t>
        </is>
      </c>
      <c r="J2417">
        <f>HYPERLINK("https://www.acritica.com/manaus/imigrantes-ajudam-na-limpeza-do-sambodromo-apos-festa-de-pentecostes-1.190407", "URL")</f>
        <v/>
      </c>
      <c r="K2417">
        <f>HYPERLINK("https://raw.githubusercontent.com/marcosmapl/dataset_imigrantes/main/noticias_filtered/a_critica/ambos/2017/05_jun/html/1.190407_398.html", "HTML")</f>
        <v/>
      </c>
      <c r="L2417">
        <f>HYPERLINK("https://raw.githubusercontent.com/marcosmapl/dataset_imigrantes/main/noticias_filtered/a_critica/ambos/2017/05_jun/txt/1.190407_398.txt", "TXT")</f>
        <v/>
      </c>
    </row>
    <row r="2418">
      <c r="A2418" s="1" t="n">
        <v>2416</v>
      </c>
      <c r="B2418" t="n">
        <v>2017</v>
      </c>
      <c r="C2418" s="2" t="n">
        <v>42890.98628472222</v>
      </c>
      <c r="D2418" t="inlineStr">
        <is>
          <t>A CRITICA</t>
        </is>
      </c>
      <c r="E2418" t="inlineStr">
        <is>
          <t>VENEZUELANOS</t>
        </is>
      </c>
      <c r="F2418" t="inlineStr">
        <is>
          <t>ESPORTES</t>
        </is>
      </c>
      <c r="G2418" t="inlineStr">
        <is>
          <t>AGÊNCIA ESTADO</t>
        </is>
      </c>
      <c r="H2418" t="inlineStr">
        <is>
          <t>CHAPE VENCE NO MINEIRÃO, SE 'VINGA' DO CRUZEIRO E REASSUME A LIDERANÇA</t>
        </is>
      </c>
      <c r="I2418" t="inlineStr">
        <is>
          <t>O TIME CATARINENSE IGNOROU O MANDO DO CLUBE MINEIRO E VENCEU POR 2 A 0 NESTE DOMINGO</t>
        </is>
      </c>
      <c r="J2418">
        <f>HYPERLINK("https://www.acritica.com/esportes/chape-vence-no-mineir-o-se-vinga-do-cruzeiro-e-reassume-a-lideranca-1.190135", "URL")</f>
        <v/>
      </c>
      <c r="K2418">
        <f>HYPERLINK("https://raw.githubusercontent.com/marcosmapl/dataset_imigrantes/main/noticias_filtered/a_critica/venezuelanos/2017/05_jun/html/1.190135_205.html", "HTML")</f>
        <v/>
      </c>
      <c r="L2418">
        <f>HYPERLINK("https://raw.githubusercontent.com/marcosmapl/dataset_imigrantes/main/noticias_filtered/a_critica/venezuelanos/2017/05_jun/txt/1.190135_205.txt", "TXT")</f>
        <v/>
      </c>
    </row>
    <row r="2419">
      <c r="A2419" s="1" t="n">
        <v>2417</v>
      </c>
      <c r="B2419" t="n">
        <v>2017</v>
      </c>
      <c r="C2419" s="2" t="n">
        <v>42890.33333333334</v>
      </c>
      <c r="D2419" t="inlineStr">
        <is>
          <t>A CRITICA</t>
        </is>
      </c>
      <c r="E2419" t="inlineStr">
        <is>
          <t>VENEZUELANOS</t>
        </is>
      </c>
      <c r="F2419" t="inlineStr">
        <is>
          <t>AMAZONIA</t>
        </is>
      </c>
      <c r="G2419" t="inlineStr">
        <is>
          <t>MONICA PRESTES</t>
        </is>
      </c>
      <c r="H2419" t="inlineStr">
        <is>
          <t>SEM ÁREAS CADASTRADAS NO AM, ANIMAIS SILVESTRES VÃO PARA LOCAIS DO SUL E SUDESTE</t>
        </is>
      </c>
      <c r="I2419" t="inlineStr">
        <is>
          <t>A ESCASSEZ DE MANTENEDORES REGISTRADOS NO AMAZONAS, BOA PARTE DOS ANIMAIS É DESTINADA PARA CRIADOUROS E ZOOLÓGICOS DE FORA DO ESTADO</t>
        </is>
      </c>
      <c r="J2419">
        <f>HYPERLINK("https://www.acritica.com/amazonia/sem-areas-cadastradas-no-am-animais-silvestres-v-o-para-locais-do-sul-e-sudeste-1.190005", "URL")</f>
        <v/>
      </c>
      <c r="K2419">
        <f>HYPERLINK("https://raw.githubusercontent.com/marcosmapl/dataset_imigrantes/main/noticias_filtered/a_critica/venezuelanos/2017/05_jun/html/1.190005_223.html", "HTML")</f>
        <v/>
      </c>
      <c r="L2419">
        <f>HYPERLINK("https://raw.githubusercontent.com/marcosmapl/dataset_imigrantes/main/noticias_filtered/a_critica/venezuelanos/2017/05_jun/txt/1.190005_223.txt", "TXT")</f>
        <v/>
      </c>
    </row>
    <row r="2420">
      <c r="A2420" s="1" t="n">
        <v>2418</v>
      </c>
      <c r="B2420" t="n">
        <v>2017</v>
      </c>
      <c r="C2420" s="2" t="n">
        <v>42888.72083333333</v>
      </c>
      <c r="D2420" t="inlineStr">
        <is>
          <t>A CRITICA</t>
        </is>
      </c>
      <c r="E2420" t="inlineStr">
        <is>
          <t>VENEZUELANOS</t>
        </is>
      </c>
      <c r="F2420" t="inlineStr">
        <is>
          <t>MANAUS</t>
        </is>
      </c>
      <c r="G2420" t="inlineStr">
        <is>
          <t>ISABELLE VALOIS</t>
        </is>
      </c>
      <c r="H2420" t="inlineStr">
        <is>
          <t>GRUPO DE ESTUDOS DISCUTE SOBRE IMIGRAÇÃO DE VENEZUELANOS EM MANAUS</t>
        </is>
      </c>
      <c r="I2420" t="inlineStr">
        <is>
          <t>A MESA REDONDA 'VENEZUELANOS NO AMAZONAS: DESAFIOS ÀS POLÍTICAS PÚBLICAS' REUNIU ESPECIALISTAS NA MANHÃ DESTA SEXTA-FEIRA</t>
        </is>
      </c>
      <c r="J2420">
        <f>HYPERLINK("https://www.acritica.com/manaus/grupo-de-estudos-discute-sobre-imigrac-o-de-venezuelanos-em-manaus-1.189926", "URL")</f>
        <v/>
      </c>
      <c r="K2420">
        <f>HYPERLINK("https://raw.githubusercontent.com/marcosmapl/dataset_imigrantes/main/noticias_filtered/a_critica/venezuelanos/2017/05_jun/html/1.189926_45.html", "HTML")</f>
        <v/>
      </c>
      <c r="L2420">
        <f>HYPERLINK("https://raw.githubusercontent.com/marcosmapl/dataset_imigrantes/main/noticias_filtered/a_critica/venezuelanos/2017/05_jun/txt/1.189926_45.txt", "TXT")</f>
        <v/>
      </c>
    </row>
    <row r="2421">
      <c r="A2421" s="1" t="n">
        <v>2419</v>
      </c>
      <c r="B2421" t="n">
        <v>2017</v>
      </c>
      <c r="C2421" s="2" t="n">
        <v>42888.60710201389</v>
      </c>
      <c r="D2421" t="inlineStr">
        <is>
          <t>G1</t>
        </is>
      </c>
      <c r="E2421" t="inlineStr">
        <is>
          <t>HAITIANOS</t>
        </is>
      </c>
      <c r="F2421" t="inlineStr">
        <is>
          <t>MATO GROSSO</t>
        </is>
      </c>
      <c r="G2421" t="inlineStr">
        <is>
          <t>G1 MT</t>
        </is>
      </c>
      <c r="H2421" t="inlineStr">
        <is>
          <t>HAITIANO É DETIDO EM MT SUSPEITO DE ESTUPRAR E ENGRAVIDAR A PRIMA HAITIANA</t>
        </is>
      </c>
      <c r="I2421" t="inlineStr">
        <is>
          <t>VÍTIMA, QUE NÃO FALA PORTUGUÊS, EXPLICOU O CASO POR MEIO DE UM TRADUTOR DO CELULAR. HAITIANO, DE 37 ANOS, NEGOU O CRIME E FOI LIBERADO.</t>
        </is>
      </c>
      <c r="J2421">
        <f>HYPERLINK("https://g1.globo.com/mato-grosso/noticia/haitiano-e-detido-em-mt-suspeito-de-estuprar-e-engravidar-a-prima-haitiana.ghtml", "URL")</f>
        <v/>
      </c>
      <c r="K2421">
        <f>HYPERLINK("https://raw.githubusercontent.com/marcosmapl/dataset_imigrantes/main/noticias_filtered/g1/haitianos/2017/05_jun/html/g1_89533836-22ee-11ed-b24f-6dbe51e79fca_1703.html", "HTML")</f>
        <v/>
      </c>
      <c r="L2421">
        <f>HYPERLINK("https://raw.githubusercontent.com/marcosmapl/dataset_imigrantes/main/noticias_filtered/g1/haitianos/2017/05_jun/txt/g1_89533836-22ee-11ed-b24f-6dbe51e79fca_1703.txt", "TXT")</f>
        <v/>
      </c>
    </row>
    <row r="2422">
      <c r="A2422" s="1" t="n">
        <v>2420</v>
      </c>
      <c r="B2422" t="n">
        <v>2017</v>
      </c>
      <c r="C2422" s="2" t="n">
        <v>42887.89236111111</v>
      </c>
      <c r="D2422" t="inlineStr">
        <is>
          <t>A CRITICA</t>
        </is>
      </c>
      <c r="E2422" t="inlineStr">
        <is>
          <t>VENEZUELANOS</t>
        </is>
      </c>
      <c r="F2422" t="inlineStr">
        <is>
          <t>MANAUS</t>
        </is>
      </c>
      <c r="G2422" t="inlineStr">
        <is>
          <t>ISABELLE VALOIS</t>
        </is>
      </c>
      <c r="H2422" t="inlineStr">
        <is>
          <t>CACIQUE VENEZUELANO DA ETNIA WARAO TEME CONFLITO ENTRE INDÍGENAS EM ABRIGO</t>
        </is>
      </c>
      <c r="I2422" t="inlineStr">
        <is>
          <t>ANIBAL PEREZ EXPLICOU QUE NA CULTURA DELES, CADA FAMÍLIA VIVE EM UM BARRACO, IGUAL COMO FAZIAM NO ENTORNO DA RODOVIÁRIA DE MANAUS</t>
        </is>
      </c>
      <c r="J2422">
        <f>HYPERLINK("https://www.acritica.com/manaus/cacique-venezuelano-da-etnia-warao-teme-conflito-entre-indigenas-em-abrigo-1.189772", "URL")</f>
        <v/>
      </c>
      <c r="K2422">
        <f>HYPERLINK("https://raw.githubusercontent.com/marcosmapl/dataset_imigrantes/main/noticias_filtered/a_critica/venezuelanos/2017/05_jun/html/1.189772_8.html", "HTML")</f>
        <v/>
      </c>
      <c r="L2422">
        <f>HYPERLINK("https://raw.githubusercontent.com/marcosmapl/dataset_imigrantes/main/noticias_filtered/a_critica/venezuelanos/2017/05_jun/txt/1.189772_8.txt", "TXT")</f>
        <v/>
      </c>
    </row>
    <row r="2423">
      <c r="A2423" s="1" t="n">
        <v>2421</v>
      </c>
      <c r="B2423" t="n">
        <v>2017</v>
      </c>
      <c r="C2423" s="2" t="n">
        <v>42887.84375</v>
      </c>
      <c r="D2423" t="inlineStr">
        <is>
          <t>A CRITICA</t>
        </is>
      </c>
      <c r="E2423" t="inlineStr">
        <is>
          <t>VENEZUELANOS</t>
        </is>
      </c>
      <c r="F2423" t="inlineStr">
        <is>
          <t>MANAUS</t>
        </is>
      </c>
      <c r="G2423" t="inlineStr">
        <is>
          <t>RAFAEL SEIXAS</t>
        </is>
      </c>
      <c r="H2423" t="inlineStr">
        <is>
          <t>ÍNDIOS VENEZUELANOS SÃO LEVADOS PARA ABRIGO NO COROADO, NA ZONA LESTE DE MANAUS</t>
        </is>
      </c>
      <c r="I2423" t="inlineStr">
        <is>
          <t>OS 297  INDÍGENAS DA ETNIA WARAO, QUE ESTAVAM NA RODOVIÁRIA, FORAM LEVADOS PARA UM ABRIGO DO SERVIÇO DE ACOLHIMENTO INSTITUCIONAL DE ADULTOS E FAMÍLIAS</t>
        </is>
      </c>
      <c r="J2423">
        <f>HYPERLINK("https://www.acritica.com/manaus/indios-venezuelanos-s-o-levados-para-abrigo-no-coroado-na-zona-leste-de-manaus-1.189779", "URL")</f>
        <v/>
      </c>
      <c r="K2423">
        <f>HYPERLINK("https://raw.githubusercontent.com/marcosmapl/dataset_imigrantes/main/noticias_filtered/a_critica/venezuelanos/2017/05_jun/html/1.189779_924.html", "HTML")</f>
        <v/>
      </c>
      <c r="L2423">
        <f>HYPERLINK("https://raw.githubusercontent.com/marcosmapl/dataset_imigrantes/main/noticias_filtered/a_critica/venezuelanos/2017/05_jun/txt/1.189779_924.txt", "TXT")</f>
        <v/>
      </c>
    </row>
    <row r="2424">
      <c r="A2424" s="1" t="n">
        <v>2422</v>
      </c>
      <c r="B2424" t="n">
        <v>2017</v>
      </c>
      <c r="C2424" s="2" t="n">
        <v>42887.075</v>
      </c>
      <c r="D2424" t="inlineStr">
        <is>
          <t>A CRITICA</t>
        </is>
      </c>
      <c r="E2424" t="inlineStr">
        <is>
          <t>VENEZUELANOS</t>
        </is>
      </c>
      <c r="F2424" t="inlineStr">
        <is>
          <t>MANAUS</t>
        </is>
      </c>
      <c r="G2424" t="inlineStr">
        <is>
          <t>ISABELLE VALOIS</t>
        </is>
      </c>
      <c r="H2424" t="inlineStr">
        <is>
          <t>PENTECOSTES 2017 ESTIMA ATRAIR 100 MIL FIEIS NESTE DOMINGO, EM MANAUS</t>
        </is>
      </c>
      <c r="I2424" t="inlineStr">
        <is>
          <t>COM O TEMA ‘VEM ESPÍRITO SANTO, COM MARIA, CUIDAR DA AMAZÔNIA!’, EVENTO ACONTECE NO SAMBÓDROMO, FLORES, NA ZONA CENTRO-OESTE</t>
        </is>
      </c>
      <c r="J2424">
        <f>HYPERLINK("https://www.acritica.com/manaus/pentecostes-2017-estima-atrair-100-mil-fieis-neste-domingo-em-manaus-1.189646", "URL")</f>
        <v/>
      </c>
      <c r="K2424">
        <f>HYPERLINK("https://raw.githubusercontent.com/marcosmapl/dataset_imigrantes/main/noticias_filtered/a_critica/venezuelanos/2017/05_jun/html/1.189646_242.html", "HTML")</f>
        <v/>
      </c>
      <c r="L2424">
        <f>HYPERLINK("https://raw.githubusercontent.com/marcosmapl/dataset_imigrantes/main/noticias_filtered/a_critica/venezuelanos/2017/05_jun/txt/1.189646_242.txt", "TXT")</f>
        <v/>
      </c>
    </row>
    <row r="2425">
      <c r="A2425" s="1" t="n">
        <v>2423</v>
      </c>
      <c r="B2425" t="n">
        <v>2017</v>
      </c>
      <c r="C2425" s="2" t="n">
        <v>42886.72724537037</v>
      </c>
      <c r="D2425" t="inlineStr">
        <is>
          <t>A CRITICA</t>
        </is>
      </c>
      <c r="E2425" t="inlineStr">
        <is>
          <t>VENEZUELANOS</t>
        </is>
      </c>
      <c r="F2425" t="inlineStr">
        <is>
          <t>MANAUS</t>
        </is>
      </c>
      <c r="G2425" t="inlineStr">
        <is>
          <t>ISABELLE VALOIS</t>
        </is>
      </c>
      <c r="H2425" t="inlineStr">
        <is>
          <t>ARQUIDIOCESE CELEBRA 21ª EDIÇÃO DA FESTA PENTECOSTES NESTE DOMINGO (4)</t>
        </is>
      </c>
      <c r="I2425" t="inlineStr">
        <is>
          <t>SERÁ A 21ª EDIÇÃO DO EVENTO NA CIDADE E PARA SEGUIR A TRADIÇÃO A FESTA OCORRERÁ NO CENTRO DE CONVENÇÕES DE MANAUS - SAMBÓDROMO, EM FLORES, ZONA CENTRO-OESTE DA CAPITAL</t>
        </is>
      </c>
      <c r="J2425">
        <f>HYPERLINK("https://www.acritica.com/manaus/arquidiocese-celebra-21-edic-o-da-festa-pentecostes-neste-domingo-4-1.189495", "URL")</f>
        <v/>
      </c>
      <c r="K2425">
        <f>HYPERLINK("https://raw.githubusercontent.com/marcosmapl/dataset_imigrantes/main/noticias_filtered/a_critica/venezuelanos/2017/04_mai/html/1.189495_991.html", "HTML")</f>
        <v/>
      </c>
      <c r="L2425">
        <f>HYPERLINK("https://raw.githubusercontent.com/marcosmapl/dataset_imigrantes/main/noticias_filtered/a_critica/venezuelanos/2017/04_mai/txt/1.189495_991.txt", "TXT")</f>
        <v/>
      </c>
    </row>
    <row r="2426">
      <c r="A2426" s="1" t="n">
        <v>2424</v>
      </c>
      <c r="B2426" t="n">
        <v>2017</v>
      </c>
      <c r="C2426" s="2" t="n">
        <v>42885.41666666666</v>
      </c>
      <c r="D2426" t="inlineStr">
        <is>
          <t>PORTAL AMAZONIA</t>
        </is>
      </c>
      <c r="E2426" t="inlineStr">
        <is>
          <t>VENEZUELANOS</t>
        </is>
      </c>
      <c r="F2426" t="inlineStr">
        <is>
          <t>CIDADES</t>
        </is>
      </c>
      <c r="G2426" t="inlineStr">
        <is>
          <t>REDAÇÃO</t>
        </is>
      </c>
      <c r="H2426" t="inlineStr">
        <is>
          <t>ÓRGÃOS PÚBLICOS DISCUTEM MEDIDAS EMERGENCIAIS PARA SITUAÇÃO DE IMIGRANTES VENEZUELANOS EM MANAUS</t>
        </is>
      </c>
      <c r="I2426" t="inlineStr">
        <is>
          <t>GRUPO SERÁ TRANSFERIDO PARA PRÉDIO NO BAIRRO COROADO.</t>
        </is>
      </c>
      <c r="J2426">
        <f>HYPERLINK("https://portalamazonia.com/noticias/cidades/orgaos-publicos-discutem-medidas-emergenciais-para-situacao-de-imigrantes-venezuelanos-em-manaus", "URL")</f>
        <v/>
      </c>
      <c r="K2426">
        <f>HYPERLINK("https://raw.githubusercontent.com/marcosmapl/dataset_imigrantes/main/noticias_filtered/portal_amazonia/venezuelanos/2017/04_mai/html/7915.25996_1577.html", "HTML")</f>
        <v/>
      </c>
      <c r="L2426">
        <f>HYPERLINK("https://raw.githubusercontent.com/marcosmapl/dataset_imigrantes/main/noticias_filtered/portal_amazonia/venezuelanos/2017/04_mai/txt/7915.25996_1577.txt", "TXT")</f>
        <v/>
      </c>
    </row>
    <row r="2427">
      <c r="A2427" s="1" t="n">
        <v>2425</v>
      </c>
      <c r="B2427" t="n">
        <v>2017</v>
      </c>
      <c r="C2427" s="2" t="n">
        <v>42884.95222222222</v>
      </c>
      <c r="D2427" t="inlineStr">
        <is>
          <t>A CRITICA</t>
        </is>
      </c>
      <c r="E2427" t="inlineStr">
        <is>
          <t>VENEZUELANOS</t>
        </is>
      </c>
      <c r="F2427" t="inlineStr">
        <is>
          <t>MANAUS</t>
        </is>
      </c>
      <c r="G2427" t="inlineStr">
        <is>
          <t>ACRÍTICA.COM</t>
        </is>
      </c>
      <c r="H2427" t="inlineStr">
        <is>
          <t>MPF/AM APRESENTA PARECER ANTROPOLÓGICO SOBRE INDÍGENAS WARAO EM MANAUS</t>
        </is>
      </c>
      <c r="I2427" t="inlineStr">
        <is>
          <t>EM COLETIVA DE IMPRENSA, ÓRGÃO INFORMOU QUE SECRETARIAS DE ESTADO E DO MUNICÍPIO SE COMPROMETERAM A GARANTIR ABRIGO E ALIMENTAÇÃO URGENTE PARA 300 INDÍGENAS</t>
        </is>
      </c>
      <c r="J2427">
        <f>HYPERLINK("https://www.acritica.com/manaus/mpf-am-apresenta-parecer-antropologico-sobre-indigenas-warao-em-manaus-1.86472", "URL")</f>
        <v/>
      </c>
      <c r="K2427">
        <f>HYPERLINK("https://raw.githubusercontent.com/marcosmapl/dataset_imigrantes/main/noticias_filtered/a_critica/venezuelanos/2017/04_mai/html/1.86472_1214.html", "HTML")</f>
        <v/>
      </c>
      <c r="L2427">
        <f>HYPERLINK("https://raw.githubusercontent.com/marcosmapl/dataset_imigrantes/main/noticias_filtered/a_critica/venezuelanos/2017/04_mai/txt/1.86472_1214.txt", "TXT")</f>
        <v/>
      </c>
    </row>
    <row r="2428">
      <c r="A2428" s="1" t="n">
        <v>2426</v>
      </c>
      <c r="B2428" t="n">
        <v>2017</v>
      </c>
      <c r="C2428" s="2" t="n">
        <v>42884.52430555555</v>
      </c>
      <c r="D2428" t="inlineStr">
        <is>
          <t>PORTAL AMAZONIA</t>
        </is>
      </c>
      <c r="E2428" t="inlineStr">
        <is>
          <t>VENEZUELANOS</t>
        </is>
      </c>
      <c r="F2428" t="inlineStr">
        <is>
          <t>CIDADES</t>
        </is>
      </c>
      <c r="G2428" t="inlineStr">
        <is>
          <t>REDAÇÃO</t>
        </is>
      </c>
      <c r="H2428" t="inlineStr">
        <is>
          <t>FAMÍLIAS VENEZUELANAS COM CRIANÇAS DE COLO SERÃO PRIMEIRAS A IR PARA ABRIGO EM MANAUS</t>
        </is>
      </c>
      <c r="I2428" t="inlineStr">
        <is>
          <t>FOTO: PATRICK MARQUES/REDE AMAZÔNICAFAMÍLIAS VENEZUELANAS COM CRIANÇAS DE COLO SÃO PRIORIDADE NA TRANSFERÊNCIA PARA O ABRIGO NO BAIRRO COROADO, ZONA LESTE DE MANAUS. OS CRITÉRIOS FORAM DEFINIDOS PELA SECRETARIA DE ESTADO DE JUSTIÇA DIREITOS HUMANOS E</t>
        </is>
      </c>
      <c r="J2428">
        <f>HYPERLINK("https://portalamazonia.com/noticias/cidades/familias-venezuelanas-com-criancas-de-colo-serao-primeiras-a-ir-para-abrigo-em-manaus", "URL")</f>
        <v/>
      </c>
      <c r="K2428">
        <f>HYPERLINK("https://raw.githubusercontent.com/marcosmapl/dataset_imigrantes/main/noticias_filtered/portal_amazonia/venezuelanos/2017/04_mai/html/7898.7898_1586.html", "HTML")</f>
        <v/>
      </c>
      <c r="L2428">
        <f>HYPERLINK("https://raw.githubusercontent.com/marcosmapl/dataset_imigrantes/main/noticias_filtered/portal_amazonia/venezuelanos/2017/04_mai/txt/7898.7898_1586.txt", "TXT")</f>
        <v/>
      </c>
    </row>
    <row r="2429">
      <c r="A2429" s="1" t="n">
        <v>2427</v>
      </c>
      <c r="B2429" t="n">
        <v>2017</v>
      </c>
      <c r="C2429" s="2" t="n">
        <v>42884.49791666667</v>
      </c>
      <c r="D2429" t="inlineStr">
        <is>
          <t>PORTAL AMAZONIA</t>
        </is>
      </c>
      <c r="E2429" t="inlineStr">
        <is>
          <t>VENEZUELANOS</t>
        </is>
      </c>
      <c r="F2429" t="inlineStr">
        <is>
          <t>NOTÍCIAS</t>
        </is>
      </c>
      <c r="G2429" t="inlineStr">
        <is>
          <t>REDAÇÃO</t>
        </is>
      </c>
      <c r="H2429" t="inlineStr">
        <is>
          <t>TRANSFERÊNCIA DE VENEZUELANOS PARA PRÉDIO NA ZONA LESTE DE MANAUS AINDA NÃO TEM PREVISÃO</t>
        </is>
      </c>
      <c r="I2429" t="inlineStr">
        <is>
          <t>LOCAL PASSA POR MELHORIAS.</t>
        </is>
      </c>
      <c r="J2429">
        <f>HYPERLINK("https://portalamazonia.com/noticias/transferencia-de-venezuelanos-para-predio-na-zona-leste-de-manaus-ainda-nao-tem-previsao", "URL")</f>
        <v/>
      </c>
      <c r="K2429">
        <f>HYPERLINK("https://raw.githubusercontent.com/marcosmapl/dataset_imigrantes/main/noticias_filtered/portal_amazonia/venezuelanos/2017/04_mai/html/7896.7896_1491.html", "HTML")</f>
        <v/>
      </c>
      <c r="L2429">
        <f>HYPERLINK("https://raw.githubusercontent.com/marcosmapl/dataset_imigrantes/main/noticias_filtered/portal_amazonia/venezuelanos/2017/04_mai/txt/7896.7896_1491.txt", "TXT")</f>
        <v/>
      </c>
    </row>
    <row r="2430">
      <c r="A2430" s="1" t="n">
        <v>2428</v>
      </c>
      <c r="B2430" t="n">
        <v>2017</v>
      </c>
      <c r="C2430" s="2" t="n">
        <v>42883.87284722222</v>
      </c>
      <c r="D2430" t="inlineStr">
        <is>
          <t>A CRITICA</t>
        </is>
      </c>
      <c r="E2430" t="inlineStr">
        <is>
          <t>VENEZUELANOS</t>
        </is>
      </c>
      <c r="F2430" t="inlineStr">
        <is>
          <t>MANAUS</t>
        </is>
      </c>
      <c r="G2430" t="inlineStr">
        <is>
          <t>ACRÍTICA.COM</t>
        </is>
      </c>
      <c r="H2430" t="inlineStr">
        <is>
          <t>VENEZUELANOS COM CRIANÇAS DE COLO SERÃO OS PRIMEIROS TRANSFERIDOS PARA ABRIGO</t>
        </is>
      </c>
      <c r="I2430" t="inlineStr">
        <is>
          <t>OS CRITÉRIOS FORAM DEFINIDOS PELA SEJUSC, QUE ATUA NAS AÇÕES DE ATENDIMENTO ÀS FAMÍLIAS QUE ESTÃO NA RODOVIÁRIA E NO CENTRO DE MANAUS</t>
        </is>
      </c>
      <c r="J2430">
        <f>HYPERLINK("https://www.acritica.com/manaus/venezuelanos-com-criancas-de-colo-ser-o-os-primeiros-transferidos-para-abrigo-1.86573", "URL")</f>
        <v/>
      </c>
      <c r="K2430">
        <f>HYPERLINK("https://raw.githubusercontent.com/marcosmapl/dataset_imigrantes/main/noticias_filtered/a_critica/venezuelanos/2017/04_mai/html/1.86573_1116.html", "HTML")</f>
        <v/>
      </c>
      <c r="L2430">
        <f>HYPERLINK("https://raw.githubusercontent.com/marcosmapl/dataset_imigrantes/main/noticias_filtered/a_critica/venezuelanos/2017/04_mai/txt/1.86573_1116.txt", "TXT")</f>
        <v/>
      </c>
    </row>
    <row r="2431">
      <c r="A2431" s="1" t="n">
        <v>2429</v>
      </c>
      <c r="B2431" t="n">
        <v>2017</v>
      </c>
      <c r="C2431" s="2" t="n">
        <v>42883.56041666667</v>
      </c>
      <c r="D2431" t="inlineStr">
        <is>
          <t>PORTAL AMAZONIA</t>
        </is>
      </c>
      <c r="E2431" t="inlineStr">
        <is>
          <t>VENEZUELANOS</t>
        </is>
      </c>
      <c r="F2431" t="inlineStr">
        <is>
          <t>CIDADES</t>
        </is>
      </c>
      <c r="G2431" t="inlineStr">
        <is>
          <t>REDAÇÃO</t>
        </is>
      </c>
      <c r="H2431" t="inlineStr">
        <is>
          <t>ALOJAMENTO QUE RECEBERÁ INDÍGENAS VENEZUELANOS EM MANAUS SEGUE EM REFORMA</t>
        </is>
      </c>
      <c r="I2431" t="inlineStr">
        <is>
          <t>FOTO: REPRODUÇÃO/REDE AMAZÔNICAUM PRÉDIO NO BAIRRO COROADO, NA ZONA LESTE DE MANAUS, QUE ABRIGARÁ OS INDÍGENAS VENEZUELANOS DA ETNIA WARAO, CONTINUA EM OBRAS. A RECUPERAÇÃO DO ALOJAMENTO JÁ DURA DEZ DIAS E O PRAZO PARA REALOCAÇÃO DOS IMIGRANTES</t>
        </is>
      </c>
      <c r="J2431">
        <f>HYPERLINK("https://portalamazonia.com/noticias/cidades/alojamento-que-recebera-indigenas-venezuelanos-em-manaus-segue-em-reforma", "URL")</f>
        <v/>
      </c>
      <c r="K2431">
        <f>HYPERLINK("https://raw.githubusercontent.com/marcosmapl/dataset_imigrantes/main/noticias_filtered/portal_amazonia/venezuelanos/2017/04_mai/html/7881.7881_1531.html", "HTML")</f>
        <v/>
      </c>
      <c r="L2431">
        <f>HYPERLINK("https://raw.githubusercontent.com/marcosmapl/dataset_imigrantes/main/noticias_filtered/portal_amazonia/venezuelanos/2017/04_mai/txt/7881.7881_1531.txt", "TXT")</f>
        <v/>
      </c>
    </row>
    <row r="2432">
      <c r="A2432" s="1" t="n">
        <v>2430</v>
      </c>
      <c r="B2432" t="n">
        <v>2017</v>
      </c>
      <c r="C2432" s="2" t="n">
        <v>42880.9028125</v>
      </c>
      <c r="D2432" t="inlineStr">
        <is>
          <t>A CRITICA</t>
        </is>
      </c>
      <c r="E2432" t="inlineStr">
        <is>
          <t>VENEZUELANOS</t>
        </is>
      </c>
      <c r="F2432" t="inlineStr">
        <is>
          <t>MANAUS</t>
        </is>
      </c>
      <c r="G2432" t="inlineStr">
        <is>
          <t>ACRITICA.COM*</t>
        </is>
      </c>
      <c r="H2432" t="inlineStr">
        <is>
          <t>TRATAMENTO DE INDÍGENAS VENEZUELANOS SERÁ ACOMPANHADO POR LIDERANÇAS XAMÂNICAS</t>
        </is>
      </c>
      <c r="I2432" t="inlineStr">
        <is>
          <t>INDÍGENAS QUE VIVEM EM MANAUS ESTAVAM RESISTINDO AO TRATAMENTO MÉDICO TRADICIONAL POR MOTIVOS RELIGIOSOS, POIS ACREDITAM NA CURA POR MEIO DE SEUS RITUAIS</t>
        </is>
      </c>
      <c r="J2432">
        <f>HYPERLINK("https://www.acritica.com/manaus/tratamento-de-indigenas-venezuelanos-sera-acompanhado-por-liderancas-xamanicas-1.87365", "URL")</f>
        <v/>
      </c>
      <c r="K2432">
        <f>HYPERLINK("https://raw.githubusercontent.com/marcosmapl/dataset_imigrantes/main/noticias_filtered/a_critica/venezuelanos/2017/04_mai/html/1.87365_303.html", "HTML")</f>
        <v/>
      </c>
      <c r="L2432">
        <f>HYPERLINK("https://raw.githubusercontent.com/marcosmapl/dataset_imigrantes/main/noticias_filtered/a_critica/venezuelanos/2017/04_mai/txt/1.87365_303.txt", "TXT")</f>
        <v/>
      </c>
    </row>
    <row r="2433">
      <c r="A2433" s="1" t="n">
        <v>2431</v>
      </c>
      <c r="B2433" t="n">
        <v>2017</v>
      </c>
      <c r="C2433" s="2" t="n">
        <v>42879.88591435185</v>
      </c>
      <c r="D2433" t="inlineStr">
        <is>
          <t>A CRITICA</t>
        </is>
      </c>
      <c r="E2433" t="inlineStr">
        <is>
          <t>AMBOS</t>
        </is>
      </c>
      <c r="F2433" t="inlineStr">
        <is>
          <t>MANAUS</t>
        </is>
      </c>
      <c r="G2433" t="inlineStr">
        <is>
          <t>LÍDIA FERREIRA</t>
        </is>
      </c>
      <c r="H2433" t="inlineStr">
        <is>
          <t>MORADORES FECHAM AVENIDA EM PROTESTO POR ATRASO DO AUXÍLIO ENCHENTE</t>
        </is>
      </c>
      <c r="I2433" t="inlineStr">
        <is>
          <t>POPULARES ATEARAM FOGO EM PEDAÇOS DE MADEIRA, COLCHÕES E OUTROS OBJETOS VELHOS O QUE IMPEDIU O TRÁFEGO NA AVENIDA SÃO JORGE, ZONA OESTE DE MANAUS</t>
        </is>
      </c>
      <c r="J2433">
        <f>HYPERLINK("https://www.acritica.com/manaus/moradores-fecham-avenida-em-protesto-por-atraso-do-auxilio-enchente-1.87412", "URL")</f>
        <v/>
      </c>
      <c r="K2433">
        <f>HYPERLINK("https://raw.githubusercontent.com/marcosmapl/dataset_imigrantes/main/noticias_filtered/a_critica/ambos/2017/04_mai/html/1.87412_1365.html", "HTML")</f>
        <v/>
      </c>
      <c r="L2433">
        <f>HYPERLINK("https://raw.githubusercontent.com/marcosmapl/dataset_imigrantes/main/noticias_filtered/a_critica/ambos/2017/04_mai/txt/1.87412_1365.txt", "TXT")</f>
        <v/>
      </c>
    </row>
    <row r="2434">
      <c r="A2434" s="1" t="n">
        <v>2432</v>
      </c>
      <c r="B2434" t="n">
        <v>2017</v>
      </c>
      <c r="C2434" s="2" t="n">
        <v>42879.51875</v>
      </c>
      <c r="D2434" t="inlineStr">
        <is>
          <t>A CRITICA</t>
        </is>
      </c>
      <c r="E2434" t="inlineStr">
        <is>
          <t>VENEZUELANOS</t>
        </is>
      </c>
      <c r="F2434" t="inlineStr">
        <is>
          <t>MANAUS</t>
        </is>
      </c>
      <c r="G2434" t="inlineStr">
        <is>
          <t>ACRÍTICA.COM</t>
        </is>
      </c>
      <c r="H2434" t="inlineStr">
        <is>
          <t>CRIANÇA VENEZUELANA É INTERNADA EM ESTADO GRAVE COM PNEUMONIA EM MANAUS</t>
        </is>
      </c>
      <c r="I2434" t="inlineStr">
        <is>
          <t>MENINO DA ETNIA WARAO TERIA SIDO LEVADO AO HOSPITAL MESMO COM A RESISTÊNCIA DOS PAIS, QUE ACREDITAM EM OUTROS MÉTODOS DE CURA</t>
        </is>
      </c>
      <c r="J2434">
        <f>HYPERLINK("https://www.acritica.com/manaus/crianca-venezuelana-e-internada-em-estado-grave-com-pneumonia-em-manaus-1.87463", "URL")</f>
        <v/>
      </c>
      <c r="K2434">
        <f>HYPERLINK("https://raw.githubusercontent.com/marcosmapl/dataset_imigrantes/main/noticias_filtered/a_critica/venezuelanos/2017/04_mai/html/1.87463_732.html", "HTML")</f>
        <v/>
      </c>
      <c r="L2434">
        <f>HYPERLINK("https://raw.githubusercontent.com/marcosmapl/dataset_imigrantes/main/noticias_filtered/a_critica/venezuelanos/2017/04_mai/txt/1.87463_732.txt", "TXT")</f>
        <v/>
      </c>
    </row>
    <row r="2435">
      <c r="A2435" s="1" t="n">
        <v>2433</v>
      </c>
      <c r="B2435" t="n">
        <v>2017</v>
      </c>
      <c r="C2435" s="2" t="n">
        <v>42875.76875</v>
      </c>
      <c r="D2435" t="inlineStr">
        <is>
          <t>PORTAL AMAZONIA</t>
        </is>
      </c>
      <c r="E2435" t="inlineStr">
        <is>
          <t>HAITIANOS</t>
        </is>
      </c>
      <c r="F2435" t="inlineStr">
        <is>
          <t>CIDADES</t>
        </is>
      </c>
      <c r="G2435" t="inlineStr">
        <is>
          <t>REDAÇÃO</t>
        </is>
      </c>
      <c r="H2435" t="inlineStr">
        <is>
          <t>TOCANTINS REGISTRA QUEDA DE DESEMPREGO NO 1º TRIMESTRE DE 2017</t>
        </is>
      </c>
      <c r="I2435" t="inlineStr">
        <is>
          <t>O TOCANTINS FOI UM DOS DOIS ESTADOS BRASILEIROS, AO LADO DE RORAIMA, QUE NÃO BATEU RECORDE NO NÚMERO DE DESEMPREGADOS NO PRIMEIRO TRIMESTRE DE 2017, EM COMPARAÇÃO AO ANO ANTERIOR, CONFORME DADOS DA PESQUISA NACIONAL POR AMOSTRA DE DOMICÍLIOS CONTÍNUA</t>
        </is>
      </c>
      <c r="J2435">
        <f>HYPERLINK("https://portalamazonia.com/noticias/cidades/tocantins-registra-queda-de-desemprego-no-1-trimestre-de-2017", "URL")</f>
        <v/>
      </c>
      <c r="K2435">
        <f>HYPERLINK("https://raw.githubusercontent.com/marcosmapl/dataset_imigrantes/main/noticias_filtered/portal_amazonia/haitianos/2017/04_mai/html/7746.7746_1559.html", "HTML")</f>
        <v/>
      </c>
      <c r="L2435">
        <f>HYPERLINK("https://raw.githubusercontent.com/marcosmapl/dataset_imigrantes/main/noticias_filtered/portal_amazonia/haitianos/2017/04_mai/txt/7746.7746_1559.txt", "TXT")</f>
        <v/>
      </c>
    </row>
    <row r="2436">
      <c r="A2436" s="1" t="n">
        <v>2434</v>
      </c>
      <c r="B2436" t="n">
        <v>2017</v>
      </c>
      <c r="C2436" s="2" t="n">
        <v>42873.8330324074</v>
      </c>
      <c r="D2436" t="inlineStr">
        <is>
          <t>A CRITICA</t>
        </is>
      </c>
      <c r="E2436" t="inlineStr">
        <is>
          <t>VENEZUELANOS</t>
        </is>
      </c>
      <c r="F2436" t="inlineStr"/>
      <c r="G2436" t="inlineStr">
        <is>
          <t>AGÊNCIA REUTERS</t>
        </is>
      </c>
      <c r="H2436" t="inlineStr">
        <is>
          <t>CAOS AUMENTA NA VENEZUELA E FRANÇA PEDE MEDIAÇÃO INTERNACIONAL</t>
        </is>
      </c>
      <c r="I2436" t="inlineStr">
        <is>
          <t>AS SEIS SEMANAS SEGUIDAS DE PROTESTOS CONTRA O GOVERNO JÁ RESULTARAM EM AO MENOS 44 MORTES, E DEIXARAM CENTENAS DE FERIDOS E PRESOS NA PIOR TURBULÊNCIA DO MANDATO DE MADURO</t>
        </is>
      </c>
      <c r="J2436">
        <f>HYPERLINK("https://www.acritica.com/caos-aumenta-na-venezuela-e-franca-pede-mediac-o-internacional-1.88487", "URL")</f>
        <v/>
      </c>
      <c r="K2436">
        <f>HYPERLINK("https://raw.githubusercontent.com/marcosmapl/dataset_imigrantes/main/noticias_filtered/a_critica/venezuelanos/2017/04_mai/html/1.88487_979.html", "HTML")</f>
        <v/>
      </c>
      <c r="L2436">
        <f>HYPERLINK("https://raw.githubusercontent.com/marcosmapl/dataset_imigrantes/main/noticias_filtered/a_critica/venezuelanos/2017/04_mai/txt/1.88487_979.txt", "TXT")</f>
        <v/>
      </c>
    </row>
    <row r="2437">
      <c r="A2437" s="1" t="n">
        <v>2435</v>
      </c>
      <c r="B2437" t="n">
        <v>2017</v>
      </c>
      <c r="C2437" s="2" t="n">
        <v>42873.33333333334</v>
      </c>
      <c r="D2437" t="inlineStr">
        <is>
          <t>A CRITICA</t>
        </is>
      </c>
      <c r="E2437" t="inlineStr">
        <is>
          <t>VENEZUELANOS</t>
        </is>
      </c>
      <c r="F2437" t="inlineStr">
        <is>
          <t>OPINIAO</t>
        </is>
      </c>
      <c r="G2437" t="inlineStr"/>
      <c r="H2437" t="inlineStr">
        <is>
          <t>DEPUTADOS ESTADUAIS ZOAM AUGUSTO FERRAZ EM WHATSAPP</t>
        </is>
      </c>
      <c r="I2437" t="inlineStr"/>
      <c r="J2437">
        <f>HYPERLINK("https://www.acritica.com/opiniao/deputados-estaduais-zoam-augusto-ferraz-em-whatsapp-1.230986", "URL")</f>
        <v/>
      </c>
      <c r="K2437">
        <f>HYPERLINK("https://raw.githubusercontent.com/marcosmapl/dataset_imigrantes/main/noticias_filtered/a_critica/venezuelanos/2017/04_mai/html/1.230986_966.html", "HTML")</f>
        <v/>
      </c>
      <c r="L2437">
        <f>HYPERLINK("https://raw.githubusercontent.com/marcosmapl/dataset_imigrantes/main/noticias_filtered/a_critica/venezuelanos/2017/04_mai/txt/1.230986_966.txt", "TXT")</f>
        <v/>
      </c>
    </row>
    <row r="2438">
      <c r="A2438" s="1" t="n">
        <v>2436</v>
      </c>
      <c r="B2438" t="n">
        <v>2017</v>
      </c>
      <c r="C2438" s="2" t="n">
        <v>42872.70609953703</v>
      </c>
      <c r="D2438" t="inlineStr">
        <is>
          <t>A CRITICA</t>
        </is>
      </c>
      <c r="E2438" t="inlineStr">
        <is>
          <t>VENEZUELANOS</t>
        </is>
      </c>
      <c r="F2438" t="inlineStr"/>
      <c r="G2438" t="inlineStr">
        <is>
          <t>AGÊNCIA EFE</t>
        </is>
      </c>
      <c r="H2438" t="inlineStr">
        <is>
          <t>EUA DEFENDEM NA ONU A RESTAURAÇÃO DA DEMOCRACIA NA VENEZUELA</t>
        </is>
      </c>
      <c r="I2438" t="inlineStr">
        <is>
          <t>A PEDIDO DOS EUA, O CONSELHO DE SEGURANÇA DA ONU ABORDARÁ HOJE, EM UM ENCONTRO A PORTAS FECHADAS, A SITUAÇÃO NA VENEZUELA PELA PRIMEIRA VEZ DESDE O INÍCIO DA CRISE</t>
        </is>
      </c>
      <c r="J2438">
        <f>HYPERLINK("https://www.acritica.com/eua-defendem-na-onu-a-restaurac-o-da-democracia-na-venezuela-1.88732", "URL")</f>
        <v/>
      </c>
      <c r="K2438">
        <f>HYPERLINK("https://raw.githubusercontent.com/marcosmapl/dataset_imigrantes/main/noticias_filtered/a_critica/venezuelanos/2017/04_mai/html/1.88732_181.html", "HTML")</f>
        <v/>
      </c>
      <c r="L2438">
        <f>HYPERLINK("https://raw.githubusercontent.com/marcosmapl/dataset_imigrantes/main/noticias_filtered/a_critica/venezuelanos/2017/04_mai/txt/1.88732_181.txt", "TXT")</f>
        <v/>
      </c>
    </row>
    <row r="2439">
      <c r="A2439" s="1" t="n">
        <v>2437</v>
      </c>
      <c r="B2439" t="n">
        <v>2017</v>
      </c>
      <c r="C2439" s="2" t="n">
        <v>42872.47620370371</v>
      </c>
      <c r="D2439" t="inlineStr">
        <is>
          <t>A CRITICA</t>
        </is>
      </c>
      <c r="E2439" t="inlineStr">
        <is>
          <t>VENEZUELANOS</t>
        </is>
      </c>
      <c r="F2439" t="inlineStr">
        <is>
          <t>MANAUS</t>
        </is>
      </c>
      <c r="G2439" t="inlineStr">
        <is>
          <t>AMANDA GUIMARÃES</t>
        </is>
      </c>
      <c r="H2439" t="inlineStr">
        <is>
          <t>GOVERNO E PREFEITURA ESTUDAM FREAR ENTRADA DE VENEZUELANOS NO AMAZONAS</t>
        </is>
      </c>
      <c r="I2439" t="inlineStr">
        <is>
          <t>GOVERNADOR AFIRMOU QUE EXISTEM DIÁLOGOS COM A PF PARA TENTAR CONTROLAR A CHEGADA DOS IMIGRANTES, E PREFEITO JÁ CITOU POSSIBILIDADE DE BARREIRA EM RORAIMA</t>
        </is>
      </c>
      <c r="J2439">
        <f>HYPERLINK("https://www.acritica.com/manaus/governo-e-prefeitura-estudam-frear-entrada-de-venezuelanos-no-amazonas-1.88766", "URL")</f>
        <v/>
      </c>
      <c r="K2439">
        <f>HYPERLINK("https://raw.githubusercontent.com/marcosmapl/dataset_imigrantes/main/noticias_filtered/a_critica/venezuelanos/2017/04_mai/html/1.88766_455.html", "HTML")</f>
        <v/>
      </c>
      <c r="L2439">
        <f>HYPERLINK("https://raw.githubusercontent.com/marcosmapl/dataset_imigrantes/main/noticias_filtered/a_critica/venezuelanos/2017/04_mai/txt/1.88766_455.txt", "TXT")</f>
        <v/>
      </c>
    </row>
    <row r="2440">
      <c r="A2440" s="1" t="n">
        <v>2438</v>
      </c>
      <c r="B2440" t="n">
        <v>2017</v>
      </c>
      <c r="C2440" s="2" t="n">
        <v>42871.73263888889</v>
      </c>
      <c r="D2440" t="inlineStr">
        <is>
          <t>A CRITICA</t>
        </is>
      </c>
      <c r="E2440" t="inlineStr">
        <is>
          <t>VENEZUELANOS</t>
        </is>
      </c>
      <c r="F2440" t="inlineStr">
        <is>
          <t>MANAUS</t>
        </is>
      </c>
      <c r="G2440" t="inlineStr">
        <is>
          <t>AMANDA GUIMARÃES</t>
        </is>
      </c>
      <c r="H2440" t="inlineStr">
        <is>
          <t>GOVERNO DO AM VAI USAR PRÉDIO COMO ABRIGO E REPASSAR R$ 205 MIL PARA AJUDAR VENEZUELANOS</t>
        </is>
      </c>
      <c r="I2440" t="inlineStr">
        <is>
          <t>VERBA SERÁ CEDIDO PARA CUSTEIO DE ALIMENTAÇÃO, SEGUNDO O GOVERNADOR DAVID ALMEIDA. ANTIGA SEDE DO PROJETO CIDADÃO VAI RECEBER OS IMIGRANTES</t>
        </is>
      </c>
      <c r="J2440">
        <f>HYPERLINK("https://www.acritica.com/manaus/governo-do-am-vai-usar-predio-como-abrigo-e-repassar-r-205-mil-para-ajudar-venezuelanos-1.202066", "URL")</f>
        <v/>
      </c>
      <c r="K2440">
        <f>HYPERLINK("https://raw.githubusercontent.com/marcosmapl/dataset_imigrantes/main/noticias_filtered/a_critica/venezuelanos/2017/04_mai/html/1.202066_617.html", "HTML")</f>
        <v/>
      </c>
      <c r="L2440">
        <f>HYPERLINK("https://raw.githubusercontent.com/marcosmapl/dataset_imigrantes/main/noticias_filtered/a_critica/venezuelanos/2017/04_mai/txt/1.202066_617.txt", "TXT")</f>
        <v/>
      </c>
    </row>
    <row r="2441">
      <c r="A2441" s="1" t="n">
        <v>2439</v>
      </c>
      <c r="B2441" t="n">
        <v>2017</v>
      </c>
      <c r="C2441" s="2" t="n">
        <v>42871.62638888889</v>
      </c>
      <c r="D2441" t="inlineStr">
        <is>
          <t>PORTAL AMAZONIA</t>
        </is>
      </c>
      <c r="E2441" t="inlineStr">
        <is>
          <t>VENEZUELANOS</t>
        </is>
      </c>
      <c r="F2441" t="inlineStr">
        <is>
          <t>EDUCAÇÃO</t>
        </is>
      </c>
      <c r="G2441" t="inlineStr">
        <is>
          <t>REDAÇÃO</t>
        </is>
      </c>
      <c r="H2441" t="inlineStr">
        <is>
          <t>PARÁ É ESTADO DA REGIÃO NORTE COM MAIOR QUANTIDADE DE INSCRITOS NO ENEM, DIZ INEP</t>
        </is>
      </c>
      <c r="I2441" t="inlineStr">
        <is>
          <t>FOTO: ALEXANDRE YURI/G1 PARÁUM BALANÇO DIVULGADO PELO INSTITUTO NACIONAL DE ESTUDOS E PESQUISAS EDUCACIONAIS ANÍSIO TEIXEIRA (INEP) NESTA TERÇA-FEIRA (16), APONTA QUE, DENTRE OS ESTADOS DA REGIÃO NORTE, O PARÁ É O QUE TEM A MAIOR QUANTIDADE DE ESTUDA</t>
        </is>
      </c>
      <c r="J2441">
        <f>HYPERLINK("https://portalamazonia.com/noticias/educacao/para-e-estado-da-regiao-norte-com-maior-quantidade-de-inscritos-no-enem-diz-inep", "URL")</f>
        <v/>
      </c>
      <c r="K2441">
        <f>HYPERLINK("https://raw.githubusercontent.com/marcosmapl/dataset_imigrantes/main/noticias_filtered/portal_amazonia/venezuelanos/2017/04_mai/html/7682.7682_1465.html", "HTML")</f>
        <v/>
      </c>
      <c r="L2441">
        <f>HYPERLINK("https://raw.githubusercontent.com/marcosmapl/dataset_imigrantes/main/noticias_filtered/portal_amazonia/venezuelanos/2017/04_mai/txt/7682.7682_1465.txt", "TXT")</f>
        <v/>
      </c>
    </row>
    <row r="2442">
      <c r="A2442" s="1" t="n">
        <v>2440</v>
      </c>
      <c r="B2442" t="n">
        <v>2017</v>
      </c>
      <c r="C2442" s="2" t="n">
        <v>42871.50555555556</v>
      </c>
      <c r="D2442" t="inlineStr">
        <is>
          <t>PORTAL AMAZONIA</t>
        </is>
      </c>
      <c r="E2442" t="inlineStr">
        <is>
          <t>VENEZUELANOS</t>
        </is>
      </c>
      <c r="F2442" t="inlineStr">
        <is>
          <t>CIDADES</t>
        </is>
      </c>
      <c r="G2442" t="inlineStr">
        <is>
          <t>REDAÇÃO</t>
        </is>
      </c>
      <c r="H2442" t="inlineStr">
        <is>
          <t>MPF REQUISITA PLANO EMERGENCIAL DE SAÚDE APÓS NOVA MORTE DE CRIANÇA VENEZUELANA</t>
        </is>
      </c>
      <c r="I2442" t="inlineStr">
        <is>
          <t>INDÍGENAS VENEZUELANOS NA ESTAÇÃO RODOVIÁRIA EM MANAUS. FOTO: DIEGO OLIVEIRA/PORTAL AMAZÔNIAO MINISTÉRIO PÚBLICO FEDERAL NO AMAZONAS (MPF/AM) REQUISITOU DE SECRETARIAS MUNICIPAIS, ESTADUAIS, DA FUNDAÇÃO ESTADUAL DO ÍNDIO (FEI), DA FUNDAÇÃO NACIONAL D</t>
        </is>
      </c>
      <c r="J2442">
        <f>HYPERLINK("https://portalamazonia.com/noticias/cidades/mpf-requisita-plano-emergencial-de-saude-apos-nova-morte-de-crianca-venezuelana", "URL")</f>
        <v/>
      </c>
      <c r="K2442">
        <f>HYPERLINK("https://raw.githubusercontent.com/marcosmapl/dataset_imigrantes/main/noticias_filtered/portal_amazonia/venezuelanos/2017/04_mai/html/7666.7666_1391.html", "HTML")</f>
        <v/>
      </c>
      <c r="L2442">
        <f>HYPERLINK("https://raw.githubusercontent.com/marcosmapl/dataset_imigrantes/main/noticias_filtered/portal_amazonia/venezuelanos/2017/04_mai/txt/7666.7666_1391.txt", "TXT")</f>
        <v/>
      </c>
    </row>
    <row r="2443">
      <c r="A2443" s="1" t="n">
        <v>2441</v>
      </c>
      <c r="B2443" t="n">
        <v>2017</v>
      </c>
      <c r="C2443" s="2" t="n">
        <v>42871.02369212963</v>
      </c>
      <c r="D2443" t="inlineStr">
        <is>
          <t>A CRITICA</t>
        </is>
      </c>
      <c r="E2443" t="inlineStr">
        <is>
          <t>VENEZUELANOS</t>
        </is>
      </c>
      <c r="F2443" t="inlineStr">
        <is>
          <t>OPINIAO</t>
        </is>
      </c>
      <c r="G2443" t="inlineStr"/>
      <c r="H2443" t="inlineStr">
        <is>
          <t>VENEZUELANOS NO BRASIL: SOLIDARIEDADE NÃO TEM HORA</t>
        </is>
      </c>
      <c r="I2443" t="inlineStr"/>
      <c r="J2443">
        <f>HYPERLINK("https://www.acritica.com/opiniao/venezuelanos-no-brasil-solidariedade-n-o-tem-hora-1.230996", "URL")</f>
        <v/>
      </c>
      <c r="K2443">
        <f>HYPERLINK("https://raw.githubusercontent.com/marcosmapl/dataset_imigrantes/main/noticias_filtered/a_critica/venezuelanos/2017/04_mai/html/1.230996_916.html", "HTML")</f>
        <v/>
      </c>
      <c r="L2443">
        <f>HYPERLINK("https://raw.githubusercontent.com/marcosmapl/dataset_imigrantes/main/noticias_filtered/a_critica/venezuelanos/2017/04_mai/txt/1.230996_916.txt", "TXT")</f>
        <v/>
      </c>
    </row>
    <row r="2444">
      <c r="A2444" s="1" t="n">
        <v>2442</v>
      </c>
      <c r="B2444" t="n">
        <v>2017</v>
      </c>
      <c r="C2444" s="2" t="n">
        <v>42870.86421296297</v>
      </c>
      <c r="D2444" t="inlineStr">
        <is>
          <t>A CRITICA</t>
        </is>
      </c>
      <c r="E2444" t="inlineStr">
        <is>
          <t>VENEZUELANOS</t>
        </is>
      </c>
      <c r="F2444" t="inlineStr">
        <is>
          <t>MANAUS</t>
        </is>
      </c>
      <c r="G2444" t="inlineStr">
        <is>
          <t>ACRÍTICA.COM</t>
        </is>
      </c>
      <c r="H2444" t="inlineStr">
        <is>
          <t>MPF REQUISITA PLANO EMERGENCIAL DE SAÚDE APÓS NOVA MORTE DE CRIANÇA INDÍGENA WARAO</t>
        </is>
      </c>
      <c r="I2444" t="inlineStr">
        <is>
          <t>ÓRGÃOS MUNICIPAIS, ESTADUAIS E FEDERAIS DEVEM RESPONDER À REQUISIÇÃO DO MPF EM ATÉ 48 HORAS; MAIS DE 400 INDÍGENAS VENEZUELANOS WARAO ESTÃO EM MANAUS, EM SITUAÇÃO DE VULNERABILIDADE SOCIAL</t>
        </is>
      </c>
      <c r="J2444">
        <f>HYPERLINK("https://www.acritica.com/manaus/mpf-requisita-plano-emergencial-de-saude-apos-nova-morte-de-crianca-indigena-warao-1.202163", "URL")</f>
        <v/>
      </c>
      <c r="K2444">
        <f>HYPERLINK("https://raw.githubusercontent.com/marcosmapl/dataset_imigrantes/main/noticias_filtered/a_critica/venezuelanos/2017/04_mai/html/1.202163_1187.html", "HTML")</f>
        <v/>
      </c>
      <c r="L2444">
        <f>HYPERLINK("https://raw.githubusercontent.com/marcosmapl/dataset_imigrantes/main/noticias_filtered/a_critica/venezuelanos/2017/04_mai/txt/1.202163_1187.txt", "TXT")</f>
        <v/>
      </c>
    </row>
    <row r="2445">
      <c r="A2445" s="1" t="n">
        <v>2443</v>
      </c>
      <c r="B2445" t="n">
        <v>2017</v>
      </c>
      <c r="C2445" s="2" t="n">
        <v>42870.81180555555</v>
      </c>
      <c r="D2445" t="inlineStr">
        <is>
          <t>A CRITICA</t>
        </is>
      </c>
      <c r="E2445" t="inlineStr">
        <is>
          <t>VENEZUELANOS</t>
        </is>
      </c>
      <c r="F2445" t="inlineStr">
        <is>
          <t>MANAUS</t>
        </is>
      </c>
      <c r="G2445" t="inlineStr">
        <is>
          <t>AMANDA GUIMARÃES</t>
        </is>
      </c>
      <c r="H2445" t="inlineStr">
        <is>
          <t>PAIS DE BEBÊ VENEZUELANA QUEREM VOLTAR PARA SUA TERRA NATAL APÓS MORTE DA CRIANÇA</t>
        </is>
      </c>
      <c r="I2445" t="inlineStr">
        <is>
          <t>A CRIANÇA, INDÍGENA E DO SEXO FEMININO, MORREU EM DECORRÊNCIA DE PNEUMONIA  NA MADRUGADA DE DOMINGO (14). ELA ESTAVA INTERNADA NO HOSPITAL E PRONTO-SOCORRO PLATÃO ARAÚJO</t>
        </is>
      </c>
      <c r="J2445">
        <f>HYPERLINK("https://www.acritica.com/manaus/pais-de-bebe-venezuelana-querem-voltar-para-sua-terra-natal-apos-morte-da-crianca-1.202198", "URL")</f>
        <v/>
      </c>
      <c r="K2445">
        <f>HYPERLINK("https://raw.githubusercontent.com/marcosmapl/dataset_imigrantes/main/noticias_filtered/a_critica/venezuelanos/2017/04_mai/html/1.202198_601.html", "HTML")</f>
        <v/>
      </c>
      <c r="L2445">
        <f>HYPERLINK("https://raw.githubusercontent.com/marcosmapl/dataset_imigrantes/main/noticias_filtered/a_critica/venezuelanos/2017/04_mai/txt/1.202198_601.txt", "TXT")</f>
        <v/>
      </c>
    </row>
    <row r="2446">
      <c r="A2446" s="1" t="n">
        <v>2444</v>
      </c>
      <c r="B2446" t="n">
        <v>2017</v>
      </c>
      <c r="C2446" s="2" t="n">
        <v>42870.76666666667</v>
      </c>
      <c r="D2446" t="inlineStr">
        <is>
          <t>A CRITICA</t>
        </is>
      </c>
      <c r="E2446" t="inlineStr">
        <is>
          <t>VENEZUELANOS</t>
        </is>
      </c>
      <c r="F2446" t="inlineStr">
        <is>
          <t>MANAUS</t>
        </is>
      </c>
      <c r="G2446" t="inlineStr">
        <is>
          <t>VINICIUS LEAL</t>
        </is>
      </c>
      <c r="H2446" t="inlineStr">
        <is>
          <t>BEBÊ VENEZUELANA DE 11 MESES MORRE DE PNEUMONIA EM HOSPITAL DE MANAUS</t>
        </is>
      </c>
      <c r="I2446" t="inlineStr">
        <is>
          <t>A CRIANÇA, INDÍGENA E DO SEXO FEMININO, FALECEU NA MADRUGADA DE DOMINGO (14). ELA ESTAVA INTERNADA NO HOSPITAL E PRONTO-SOCORRO PLATÃO ARAÚJO</t>
        </is>
      </c>
      <c r="J2446">
        <f>HYPERLINK("https://www.acritica.com/manaus/bebe-venezuelana-de-11-meses-morre-de-pneumonia-em-hospital-de-manaus-1.202216", "URL")</f>
        <v/>
      </c>
      <c r="K2446">
        <f>HYPERLINK("https://raw.githubusercontent.com/marcosmapl/dataset_imigrantes/main/noticias_filtered/a_critica/venezuelanos/2017/04_mai/html/1.202216_1344.html", "HTML")</f>
        <v/>
      </c>
      <c r="L2446">
        <f>HYPERLINK("https://raw.githubusercontent.com/marcosmapl/dataset_imigrantes/main/noticias_filtered/a_critica/venezuelanos/2017/04_mai/txt/1.202216_1344.txt", "TXT")</f>
        <v/>
      </c>
    </row>
    <row r="2447">
      <c r="A2447" s="1" t="n">
        <v>2445</v>
      </c>
      <c r="B2447" t="n">
        <v>2017</v>
      </c>
      <c r="C2447" s="2" t="n">
        <v>42870.75069444445</v>
      </c>
      <c r="D2447" t="inlineStr">
        <is>
          <t>A CRITICA</t>
        </is>
      </c>
      <c r="E2447" t="inlineStr">
        <is>
          <t>VENEZUELANOS</t>
        </is>
      </c>
      <c r="F2447" t="inlineStr">
        <is>
          <t>ENTRETENIMENTO</t>
        </is>
      </c>
      <c r="G2447" t="inlineStr">
        <is>
          <t>ACRÍTICA.COM</t>
        </is>
      </c>
      <c r="H2447" t="inlineStr">
        <is>
          <t>OS DESTINOS LATINO-AMERICANOS POUCO EXPLORADOS PRÓXIMOS A MANAUS</t>
        </is>
      </c>
      <c r="I2447" t="inlineStr">
        <is>
          <t>CERCADA POR OITO PAÍSES, CAPITAL AMAZONENSE É ROTA PARA PRAIAS CARIBENHAS, CAPITAIS HISTÓRICAS E ATÉ CIDADES COM NEVE</t>
        </is>
      </c>
      <c r="J2447">
        <f>HYPERLINK("https://www.acritica.com/entretenimento/os-destinos-latino-americanos-pouco-explorados-proximos-a-manaus-1.202219", "URL")</f>
        <v/>
      </c>
      <c r="K2447">
        <f>HYPERLINK("https://raw.githubusercontent.com/marcosmapl/dataset_imigrantes/main/noticias_filtered/a_critica/venezuelanos/2017/04_mai/html/1.202219_772.html", "HTML")</f>
        <v/>
      </c>
      <c r="L2447">
        <f>HYPERLINK("https://raw.githubusercontent.com/marcosmapl/dataset_imigrantes/main/noticias_filtered/a_critica/venezuelanos/2017/04_mai/txt/1.202219_772.txt", "TXT")</f>
        <v/>
      </c>
    </row>
    <row r="2448">
      <c r="A2448" s="1" t="n">
        <v>2446</v>
      </c>
      <c r="B2448" t="n">
        <v>2017</v>
      </c>
      <c r="C2448" s="2" t="n">
        <v>42869.5745949074</v>
      </c>
      <c r="D2448" t="inlineStr">
        <is>
          <t>A CRITICA</t>
        </is>
      </c>
      <c r="E2448" t="inlineStr">
        <is>
          <t>VENEZUELANOS</t>
        </is>
      </c>
      <c r="F2448" t="inlineStr">
        <is>
          <t>MANAUS</t>
        </is>
      </c>
      <c r="G2448" t="inlineStr">
        <is>
          <t>SILANE SOUZA</t>
        </is>
      </c>
      <c r="H2448" t="inlineStr">
        <is>
          <t>MÃES VENEZUELANAS RECEBEM HOMENAGENS E DOAÇÕES, EM MANAUS</t>
        </is>
      </c>
      <c r="I2448" t="inlineStr">
        <is>
          <t>AS AÇÕES FORAM PROMOVIDAS POR VOLUNTÁRIOS DA IGREJA ADVENTISTA DO 7° DIA, NO ENTORNO DA RODOVIÁRIA, ZONA CENTRO-SUL</t>
        </is>
      </c>
      <c r="J2448">
        <f>HYPERLINK("https://www.acritica.com/manaus/m-es-venezuelanas-recebem-homenagens-e-doac-es-em-manaus-1.202407", "URL")</f>
        <v/>
      </c>
      <c r="K2448">
        <f>HYPERLINK("https://raw.githubusercontent.com/marcosmapl/dataset_imigrantes/main/noticias_filtered/a_critica/venezuelanos/2017/04_mai/html/1.202407_81.html", "HTML")</f>
        <v/>
      </c>
      <c r="L2448">
        <f>HYPERLINK("https://raw.githubusercontent.com/marcosmapl/dataset_imigrantes/main/noticias_filtered/a_critica/venezuelanos/2017/04_mai/txt/1.202407_81.txt", "TXT")</f>
        <v/>
      </c>
    </row>
    <row r="2449">
      <c r="A2449" s="1" t="n">
        <v>2447</v>
      </c>
      <c r="B2449" t="n">
        <v>2017</v>
      </c>
      <c r="C2449" s="2" t="n">
        <v>42867.86319444444</v>
      </c>
      <c r="D2449" t="inlineStr">
        <is>
          <t>PORTAL AMAZONIA</t>
        </is>
      </c>
      <c r="E2449" t="inlineStr">
        <is>
          <t>VENEZUELANOS</t>
        </is>
      </c>
      <c r="F2449" t="inlineStr">
        <is>
          <t>CIDADES</t>
        </is>
      </c>
      <c r="G2449" t="inlineStr">
        <is>
          <t>REDAÇÃO</t>
        </is>
      </c>
      <c r="H2449" t="inlineStr">
        <is>
          <t>GOVERNO DO AMAZONAS VAI LIBERAR RECURSOS PARA AJUDAR VENEZUELANOS</t>
        </is>
      </c>
      <c r="I2449" t="inlineStr">
        <is>
          <t>O GOVERNADOR DAVID ALMEIDA ANUNCIOU, NESSA SEXTA-FEIRA (12) QUE O GOVERNO DO AMAZONAS VAI LIBERAR RECURSOS DA ORDEM DE R$ 300 MIL PARA AJUDAR A MINIMIZAR OS PROBLEMAS ENFRENTADOS PELOS IMIGRANTES VENEZUELANOS RECÉM CHEGADOS À MANAUS.DAVID ALMEID</t>
        </is>
      </c>
      <c r="J2449">
        <f>HYPERLINK("https://portalamazonia.com/noticias/cidades/governo-do-amazonas-vai-liberar-recursos-para-ajudar-venezuelanos", "URL")</f>
        <v/>
      </c>
      <c r="K2449">
        <f>HYPERLINK("https://raw.githubusercontent.com/marcosmapl/dataset_imigrantes/main/noticias_filtered/portal_amazonia/venezuelanos/2017/04_mai/html/7601.7601_1581.html", "HTML")</f>
        <v/>
      </c>
      <c r="L2449">
        <f>HYPERLINK("https://raw.githubusercontent.com/marcosmapl/dataset_imigrantes/main/noticias_filtered/portal_amazonia/venezuelanos/2017/04_mai/txt/7601.7601_1581.txt", "TXT")</f>
        <v/>
      </c>
    </row>
    <row r="2450">
      <c r="A2450" s="1" t="n">
        <v>2448</v>
      </c>
      <c r="B2450" t="n">
        <v>2017</v>
      </c>
      <c r="C2450" s="2" t="n">
        <v>42867.7875</v>
      </c>
      <c r="D2450" t="inlineStr">
        <is>
          <t>A CRITICA</t>
        </is>
      </c>
      <c r="E2450" t="inlineStr">
        <is>
          <t>VENEZUELANOS</t>
        </is>
      </c>
      <c r="F2450" t="inlineStr">
        <is>
          <t>MANAUS</t>
        </is>
      </c>
      <c r="G2450" t="inlineStr">
        <is>
          <t>ACRÍTICA.COM</t>
        </is>
      </c>
      <c r="H2450" t="inlineStr">
        <is>
          <t>GOVERNO DO AMAZONAS VAI LIBERAR RECURSOS PARA AJUDAR VENEZUELANOS, EM MANAUS</t>
        </is>
      </c>
      <c r="I2450" t="inlineStr">
        <is>
          <t>POR CONTA DA CRISE ECONÔMICA QUE AFETA DA VENEZUELA VÁRIOS ÍNDIOS DEIXARAM O PAÍS. MAIS DE 400 VENEZUELANOS ESTÃO NA CAPITAL AMAZONENSE</t>
        </is>
      </c>
      <c r="J2450">
        <f>HYPERLINK("https://www.acritica.com/manaus/governo-do-amazonas-vai-liberar-recursos-para-ajudar-venezuelanos-em-manaus-1.202533", "URL")</f>
        <v/>
      </c>
      <c r="K2450">
        <f>HYPERLINK("https://raw.githubusercontent.com/marcosmapl/dataset_imigrantes/main/noticias_filtered/a_critica/venezuelanos/2017/04_mai/html/1.202533_585.html", "HTML")</f>
        <v/>
      </c>
      <c r="L2450">
        <f>HYPERLINK("https://raw.githubusercontent.com/marcosmapl/dataset_imigrantes/main/noticias_filtered/a_critica/venezuelanos/2017/04_mai/txt/1.202533_585.txt", "TXT")</f>
        <v/>
      </c>
    </row>
    <row r="2451">
      <c r="A2451" s="1" t="n">
        <v>2449</v>
      </c>
      <c r="B2451" t="n">
        <v>2017</v>
      </c>
      <c r="C2451" s="2" t="n">
        <v>42866.76869212963</v>
      </c>
      <c r="D2451" t="inlineStr">
        <is>
          <t>A CRITICA</t>
        </is>
      </c>
      <c r="E2451" t="inlineStr">
        <is>
          <t>VENEZUELANOS</t>
        </is>
      </c>
      <c r="F2451" t="inlineStr">
        <is>
          <t>MANAUS</t>
        </is>
      </c>
      <c r="G2451" t="inlineStr">
        <is>
          <t>ACRÍTICA.COM</t>
        </is>
      </c>
      <c r="H2451" t="inlineStr">
        <is>
          <t>MPF/AM RECOMENDA MEDIDAS SOBRE IMIGRANTES VENEZUELANOS EM MANAUS</t>
        </is>
      </c>
      <c r="I2451" t="inlineStr">
        <is>
          <t>DOCUMENTO PEDE QUE ÓRGÃOS PRESTEM AÇÕES COORDENADAS DE ASSISTÊNCIA HUMANITÁRIA AOS ESTRANGEIROS, QUE ATUALMENTE VIVEM EM CONDIÇÕES PRECÁRIAS EM VÁRIOS PONTOS DA CAPITAL</t>
        </is>
      </c>
      <c r="J2451">
        <f>HYPERLINK("https://www.acritica.com/manaus/mpf-am-recomenda-medidas-sobre-imigrantes-venezuelanos-em-manaus-1.202630", "URL")</f>
        <v/>
      </c>
      <c r="K2451">
        <f>HYPERLINK("https://raw.githubusercontent.com/marcosmapl/dataset_imigrantes/main/noticias_filtered/a_critica/venezuelanos/2017/04_mai/html/1.202630_571.html", "HTML")</f>
        <v/>
      </c>
      <c r="L2451">
        <f>HYPERLINK("https://raw.githubusercontent.com/marcosmapl/dataset_imigrantes/main/noticias_filtered/a_critica/venezuelanos/2017/04_mai/txt/1.202630_571.txt", "TXT")</f>
        <v/>
      </c>
    </row>
    <row r="2452">
      <c r="A2452" s="1" t="n">
        <v>2450</v>
      </c>
      <c r="B2452" t="n">
        <v>2017</v>
      </c>
      <c r="C2452" s="2" t="n">
        <v>42866.33333333334</v>
      </c>
      <c r="D2452" t="inlineStr">
        <is>
          <t>A CRITICA</t>
        </is>
      </c>
      <c r="E2452" t="inlineStr">
        <is>
          <t>AMBOS</t>
        </is>
      </c>
      <c r="F2452" t="inlineStr">
        <is>
          <t>OPINIAO</t>
        </is>
      </c>
      <c r="G2452" t="inlineStr"/>
      <c r="H2452" t="inlineStr">
        <is>
          <t>ENQUANTO OS DESVALIDOS AGUARDAM</t>
        </is>
      </c>
      <c r="I2452" t="inlineStr"/>
      <c r="J2452">
        <f>HYPERLINK("https://www.acritica.com/opiniao/enquanto-os-desvalidos-aguardam-1.231018", "URL")</f>
        <v/>
      </c>
      <c r="K2452">
        <f>HYPERLINK("https://raw.githubusercontent.com/marcosmapl/dataset_imigrantes/main/noticias_filtered/a_critica/ambos/2017/04_mai/html/1.231018_576.html", "HTML")</f>
        <v/>
      </c>
      <c r="L2452">
        <f>HYPERLINK("https://raw.githubusercontent.com/marcosmapl/dataset_imigrantes/main/noticias_filtered/a_critica/ambos/2017/04_mai/txt/1.231018_576.txt", "TXT")</f>
        <v/>
      </c>
    </row>
    <row r="2453">
      <c r="A2453" s="1" t="n">
        <v>2451</v>
      </c>
      <c r="B2453" t="n">
        <v>2017</v>
      </c>
      <c r="C2453" s="2" t="n">
        <v>42865.67013888889</v>
      </c>
      <c r="D2453" t="inlineStr">
        <is>
          <t>PORTAL AMAZONIA</t>
        </is>
      </c>
      <c r="E2453" t="inlineStr">
        <is>
          <t>VENEZUELANOS</t>
        </is>
      </c>
      <c r="F2453" t="inlineStr">
        <is>
          <t>CIDADES</t>
        </is>
      </c>
      <c r="G2453" t="inlineStr">
        <is>
          <t>REDAÇÃO</t>
        </is>
      </c>
      <c r="H2453" t="inlineStr">
        <is>
          <t>INDÍGENAS KULINAS SÃO FLAGRADOS RECOLHENDO LIXO E OBJETOS EM LIXÃO NO ACRE</t>
        </is>
      </c>
      <c r="I2453" t="inlineStr">
        <is>
          <t>O MÉDICO ROSALDO AGUIAR DENUNCIOU, NO ÚLTIMO SÁBADO (6), A SITUAÇÃO DE ÍNDIOS DA ETNIA KULINA QUE ESTAVAM EM UM LIXÃO CATANDO RESTOS DE ALIMENTOS E LATINHAS DE REFRIGERANTE E CERVEJA PARA VENDEREM NO MUNICÍPIO DE FEIJÓ, DISTANTE 350 KM DA CAPITAL RIO</t>
        </is>
      </c>
      <c r="J2453">
        <f>HYPERLINK("https://portalamazonia.com/noticias/cidades/indigenas-kulinas-sao-flagrados-recolhendo-lixo-e-objetos-em-lixao-no-acre", "URL")</f>
        <v/>
      </c>
      <c r="K2453">
        <f>HYPERLINK("https://raw.githubusercontent.com/marcosmapl/dataset_imigrantes/main/noticias_filtered/portal_amazonia/venezuelanos/2017/04_mai/html/7520.7520_1428.html", "HTML")</f>
        <v/>
      </c>
      <c r="L2453">
        <f>HYPERLINK("https://raw.githubusercontent.com/marcosmapl/dataset_imigrantes/main/noticias_filtered/portal_amazonia/venezuelanos/2017/04_mai/txt/7520.7520_1428.txt", "TXT")</f>
        <v/>
      </c>
    </row>
    <row r="2454">
      <c r="A2454" s="1" t="n">
        <v>2452</v>
      </c>
      <c r="B2454" t="n">
        <v>2017</v>
      </c>
      <c r="C2454" s="2" t="n">
        <v>42865.00833333333</v>
      </c>
      <c r="D2454" t="inlineStr">
        <is>
          <t>A CRITICA</t>
        </is>
      </c>
      <c r="E2454" t="inlineStr">
        <is>
          <t>VENEZUELANOS</t>
        </is>
      </c>
      <c r="F2454" t="inlineStr">
        <is>
          <t>MANAUS</t>
        </is>
      </c>
      <c r="G2454" t="inlineStr">
        <is>
          <t>RAFAEL SEIXAS</t>
        </is>
      </c>
      <c r="H2454" t="inlineStr">
        <is>
          <t>CASOS DE TUBERCULOSE SÃO REGISTRADOS EM CRIANÇAS INDÍGENAS VENEZUELANAS, EM MANAUS</t>
        </is>
      </c>
      <c r="I2454" t="inlineStr">
        <is>
          <t>UM MENINO DE 4 ANOS E UM BEBÊ RECÉM-NASCIDO FORAM DIAGNOSTICADOS NESTA TERÇA-FEIRA (09) COM A DOENÇA. A PRIORI, OS PAIS DOS MENORES FORAM RELUTANTES QUANTO AO TRATAMENTO</t>
        </is>
      </c>
      <c r="J2454">
        <f>HYPERLINK("https://www.acritica.com/manaus/casos-de-tuberculose-s-o-registrados-em-criancas-indigenas-venezuelanas-em-manaus-1.202665", "URL")</f>
        <v/>
      </c>
      <c r="K2454">
        <f>HYPERLINK("https://raw.githubusercontent.com/marcosmapl/dataset_imigrantes/main/noticias_filtered/a_critica/venezuelanos/2017/04_mai/html/1.202665_573.html", "HTML")</f>
        <v/>
      </c>
      <c r="L2454">
        <f>HYPERLINK("https://raw.githubusercontent.com/marcosmapl/dataset_imigrantes/main/noticias_filtered/a_critica/venezuelanos/2017/04_mai/txt/1.202665_573.txt", "TXT")</f>
        <v/>
      </c>
    </row>
    <row r="2455">
      <c r="A2455" s="1" t="n">
        <v>2453</v>
      </c>
      <c r="B2455" t="n">
        <v>2017</v>
      </c>
      <c r="C2455" s="2" t="n">
        <v>42864.81944444445</v>
      </c>
      <c r="D2455" t="inlineStr">
        <is>
          <t>A CRITICA</t>
        </is>
      </c>
      <c r="E2455" t="inlineStr">
        <is>
          <t>VENEZUELANOS</t>
        </is>
      </c>
      <c r="F2455" t="inlineStr">
        <is>
          <t>ESPORTES</t>
        </is>
      </c>
      <c r="G2455" t="inlineStr">
        <is>
          <t>ACRÍTICA.COM</t>
        </is>
      </c>
      <c r="H2455" t="inlineStr">
        <is>
          <t>AMAZONENSE QUEBRA JEJUM BRASILEIRO E GARANTE PRATA NO PAN-AMERICANO DE WRESTLING</t>
        </is>
      </c>
      <c r="I2455" t="inlineStr">
        <is>
          <t>DAVID MOREIRA FATUROU A MEDALHA NA CATEGORIA ATÉ 61 KG DO ESTILO LIVRE EM COMPETIÇÃO EM LAURO DE FREITAS, NA BAHIA</t>
        </is>
      </c>
      <c r="J2455">
        <f>HYPERLINK("https://www.acritica.com/esportes/amazonense-quebra-jejum-brasileiro-e-garante-prata-no-pan-americano-de-wrestling-1.202739", "URL")</f>
        <v/>
      </c>
      <c r="K2455">
        <f>HYPERLINK("https://raw.githubusercontent.com/marcosmapl/dataset_imigrantes/main/noticias_filtered/a_critica/venezuelanos/2017/04_mai/html/1.202739_888.html", "HTML")</f>
        <v/>
      </c>
      <c r="L2455">
        <f>HYPERLINK("https://raw.githubusercontent.com/marcosmapl/dataset_imigrantes/main/noticias_filtered/a_critica/venezuelanos/2017/04_mai/txt/1.202739_888.txt", "TXT")</f>
        <v/>
      </c>
    </row>
    <row r="2456">
      <c r="A2456" s="1" t="n">
        <v>2454</v>
      </c>
      <c r="B2456" t="n">
        <v>2017</v>
      </c>
      <c r="C2456" s="2" t="n">
        <v>42864.58876157407</v>
      </c>
      <c r="D2456" t="inlineStr">
        <is>
          <t>A CRITICA</t>
        </is>
      </c>
      <c r="E2456" t="inlineStr">
        <is>
          <t>VENEZUELANOS</t>
        </is>
      </c>
      <c r="F2456" t="inlineStr">
        <is>
          <t>MANAUS</t>
        </is>
      </c>
      <c r="G2456" t="inlineStr">
        <is>
          <t>ANTÔNIO PAULO</t>
        </is>
      </c>
      <c r="H2456" t="inlineStr">
        <is>
          <t>ITAMARATY FARÁ DIAGNÓSTICO SOBRE INDÍGENAS VENEZUELANOS QUE VIVEM EM MANAUS</t>
        </is>
      </c>
      <c r="I2456" t="inlineStr">
        <is>
          <t>MINISTÉRIO DAS RELAÇÕES EXTERIORES LEVANTARÁ SITUAÇÃO DE ÍNDIOS VENEZUELANOS QUE ESTÃO ACAMPADOS PRÓXIMO À RODOVIÁRIA DE MANAUS</t>
        </is>
      </c>
      <c r="J2456">
        <f>HYPERLINK("https://www.acritica.com/manaus/itamaraty-fara-diagnostico-sobre-indigenas-venezuelanos-que-vivem-em-manaus-1.87639", "URL")</f>
        <v/>
      </c>
      <c r="K2456">
        <f>HYPERLINK("https://raw.githubusercontent.com/marcosmapl/dataset_imigrantes/main/noticias_filtered/a_critica/venezuelanos/2017/04_mai/html/1.87639_1050.html", "HTML")</f>
        <v/>
      </c>
      <c r="L2456">
        <f>HYPERLINK("https://raw.githubusercontent.com/marcosmapl/dataset_imigrantes/main/noticias_filtered/a_critica/venezuelanos/2017/04_mai/txt/1.87639_1050.txt", "TXT")</f>
        <v/>
      </c>
    </row>
    <row r="2457">
      <c r="A2457" s="1" t="n">
        <v>2455</v>
      </c>
      <c r="B2457" t="n">
        <v>2017</v>
      </c>
      <c r="C2457" s="2" t="n">
        <v>42864.03111111111</v>
      </c>
      <c r="D2457" t="inlineStr">
        <is>
          <t>A CRITICA</t>
        </is>
      </c>
      <c r="E2457" t="inlineStr">
        <is>
          <t>VENEZUELANOS</t>
        </is>
      </c>
      <c r="F2457" t="inlineStr">
        <is>
          <t>OPINIAO</t>
        </is>
      </c>
      <c r="G2457" t="inlineStr"/>
      <c r="H2457" t="inlineStr">
        <is>
          <t>INDÍGENAS VENEZUELANOS</t>
        </is>
      </c>
      <c r="I2457" t="inlineStr"/>
      <c r="J2457">
        <f>HYPERLINK("https://www.acritica.com/opiniao/indigenas-venezuelanos-1.231026", "URL")</f>
        <v/>
      </c>
      <c r="K2457">
        <f>HYPERLINK("https://raw.githubusercontent.com/marcosmapl/dataset_imigrantes/main/noticias_filtered/a_critica/venezuelanos/2017/04_mai/html/1.231026_485.html", "HTML")</f>
        <v/>
      </c>
      <c r="L2457">
        <f>HYPERLINK("https://raw.githubusercontent.com/marcosmapl/dataset_imigrantes/main/noticias_filtered/a_critica/venezuelanos/2017/04_mai/txt/1.231026_485.txt", "TXT")</f>
        <v/>
      </c>
    </row>
    <row r="2458">
      <c r="A2458" s="1" t="n">
        <v>2456</v>
      </c>
      <c r="B2458" t="n">
        <v>2017</v>
      </c>
      <c r="C2458" s="2" t="n">
        <v>42863.86041666667</v>
      </c>
      <c r="D2458" t="inlineStr">
        <is>
          <t>PORTAL AMAZONIA</t>
        </is>
      </c>
      <c r="E2458" t="inlineStr">
        <is>
          <t>VENEZUELANOS</t>
        </is>
      </c>
      <c r="F2458" t="inlineStr">
        <is>
          <t>CIDADES</t>
        </is>
      </c>
      <c r="G2458" t="inlineStr">
        <is>
          <t>REDAÇÃO</t>
        </is>
      </c>
      <c r="H2458" t="inlineStr">
        <is>
          <t>MANAUS QUER AJUDA FEDERAL PARA LIDAR COM MIGRAÇÃO DE VENEZUELANOS</t>
        </is>
      </c>
      <c r="I2458" t="inlineStr">
        <is>
          <t>A PREFEITURA DE MANAUS VAI COMUNICAR O MINISTÉRIO DO DESENVOLVIMENTO SOCIAL E AGRÁRIO AINDA NESTA SEGUNDA-FEIRA (8) SOBRE O DECRETO MUNICIPAL DE EMERGÊNCIA SOCIAL DEVIDO AO INTENSO PROCESSO MIGRATÓRIO DE VENEZUELANOS NA CIDADE E ESPERA RECEBER A</t>
        </is>
      </c>
      <c r="J2458">
        <f>HYPERLINK("https://portalamazonia.com/noticias/cidades/manaus-quer-ajuda-federal-para-lidar-com-migracao-de-venezuelanos", "URL")</f>
        <v/>
      </c>
      <c r="K2458">
        <f>HYPERLINK("https://raw.githubusercontent.com/marcosmapl/dataset_imigrantes/main/noticias_filtered/portal_amazonia/venezuelanos/2017/04_mai/html/7450.7450_1476.html", "HTML")</f>
        <v/>
      </c>
      <c r="L2458">
        <f>HYPERLINK("https://raw.githubusercontent.com/marcosmapl/dataset_imigrantes/main/noticias_filtered/portal_amazonia/venezuelanos/2017/04_mai/txt/7450.7450_1476.txt", "TXT")</f>
        <v/>
      </c>
    </row>
    <row r="2459">
      <c r="A2459" s="1" t="n">
        <v>2457</v>
      </c>
      <c r="B2459" t="n">
        <v>2017</v>
      </c>
      <c r="C2459" s="2" t="n">
        <v>42860.94861111111</v>
      </c>
      <c r="D2459" t="inlineStr">
        <is>
          <t>A CRITICA</t>
        </is>
      </c>
      <c r="E2459" t="inlineStr">
        <is>
          <t>VENEZUELANOS</t>
        </is>
      </c>
      <c r="F2459" t="inlineStr">
        <is>
          <t>ESPORTES</t>
        </is>
      </c>
      <c r="G2459" t="inlineStr">
        <is>
          <t>JÉSSICA SANTOS</t>
        </is>
      </c>
      <c r="H2459" t="inlineStr">
        <is>
          <t>9º DESAFIO INTERNACIONAL DE TEPEQUÉM ACONTECE NESTE FIM DE SEMANA, EM RORAIMA</t>
        </is>
      </c>
      <c r="I2459" t="inlineStr">
        <is>
          <t>DESAFIO EXIGE SUPERAÇÃO DOS ATLETAS, QUE PRECISAM SUBIR A SERRA DE TEPEQUÉM, COM INCLINAÇÃO DE ATÉ 28%</t>
        </is>
      </c>
      <c r="J2459">
        <f>HYPERLINK("https://www.acritica.com/esportes/9-desafio-internacional-de-tepequem-acontece-neste-fim-de-semana-em-roraima-1.188725", "URL")</f>
        <v/>
      </c>
      <c r="K2459">
        <f>HYPERLINK("https://raw.githubusercontent.com/marcosmapl/dataset_imigrantes/main/noticias_filtered/a_critica/venezuelanos/2017/04_mai/html/1.188725_372.html", "HTML")</f>
        <v/>
      </c>
      <c r="L2459">
        <f>HYPERLINK("https://raw.githubusercontent.com/marcosmapl/dataset_imigrantes/main/noticias_filtered/a_critica/venezuelanos/2017/04_mai/txt/1.188725_372.txt", "TXT")</f>
        <v/>
      </c>
    </row>
    <row r="2460">
      <c r="A2460" s="1" t="n">
        <v>2458</v>
      </c>
      <c r="B2460" t="n">
        <v>2017</v>
      </c>
      <c r="C2460" s="2" t="n">
        <v>42859.87569444445</v>
      </c>
      <c r="D2460" t="inlineStr">
        <is>
          <t>G1</t>
        </is>
      </c>
      <c r="E2460" t="inlineStr">
        <is>
          <t>VENEZUELANOS</t>
        </is>
      </c>
      <c r="F2460" t="inlineStr"/>
      <c r="G2460" t="inlineStr"/>
      <c r="H2460" t="inlineStr">
        <is>
          <t>PF PRENDE SUSPEITOS DE EXPLORAÇÃO SEXUAL DE VENEZUELANAS EM RORAIMA</t>
        </is>
      </c>
      <c r="I2460" t="inlineStr"/>
      <c r="J2460">
        <f>HYPERLINK("http://g1.globo.com/jornal-nacional/noticia/2017/05/pf-prende-suspeitos-de-exploracao-sexual-de-venezuelanas-em-roraima.html", "URL")</f>
        <v/>
      </c>
      <c r="K2460">
        <f>HYPERLINK("https://raw.githubusercontent.com/marcosmapl/dataset_imigrantes/main/noticias_filtered/g1/venezuelanos/2017/04_mai/html/g1_60c8d56a-232a-11ed-b24f-6dbe51e79fca_4175.html", "HTML")</f>
        <v/>
      </c>
      <c r="L2460">
        <f>HYPERLINK("https://raw.githubusercontent.com/marcosmapl/dataset_imigrantes/main/noticias_filtered/g1/venezuelanos/2017/04_mai/txt/g1_60c8d56a-232a-11ed-b24f-6dbe51e79fca_4175.txt", "TXT")</f>
        <v/>
      </c>
    </row>
    <row r="2461">
      <c r="A2461" s="1" t="n">
        <v>2459</v>
      </c>
      <c r="B2461" t="n">
        <v>2017</v>
      </c>
      <c r="C2461" s="2" t="n">
        <v>42856.89673611111</v>
      </c>
      <c r="D2461" t="inlineStr">
        <is>
          <t>A CRITICA</t>
        </is>
      </c>
      <c r="E2461" t="inlineStr">
        <is>
          <t>VENEZUELANOS</t>
        </is>
      </c>
      <c r="F2461" t="inlineStr">
        <is>
          <t>ESPORTES</t>
        </is>
      </c>
      <c r="G2461" t="inlineStr">
        <is>
          <t>A CRITICA.COM*</t>
        </is>
      </c>
      <c r="H2461" t="inlineStr">
        <is>
          <t>AMAZONAS LEVARÁ CINCO ATLETAS PARA O PAN-AMERICANO SÊNIOR DE WRESTLING, NA BAHIA</t>
        </is>
      </c>
      <c r="I2461" t="inlineStr">
        <is>
          <t>É A MAIOR DELEGAÇÃO DO AMAZONAS ATÉ HOJE NO PAN-AMERICANO SÊNIOR DE WRESTLING</t>
        </is>
      </c>
      <c r="J2461">
        <f>HYPERLINK("https://www.acritica.com/esportes/amazonas-levara-cinco-atletas-para-o-pan-americano-senior-de-wrestling-na-bahia-1.188415", "URL")</f>
        <v/>
      </c>
      <c r="K2461">
        <f>HYPERLINK("https://raw.githubusercontent.com/marcosmapl/dataset_imigrantes/main/noticias_filtered/a_critica/venezuelanos/2017/04_mai/html/1.188415_1119.html", "HTML")</f>
        <v/>
      </c>
      <c r="L2461">
        <f>HYPERLINK("https://raw.githubusercontent.com/marcosmapl/dataset_imigrantes/main/noticias_filtered/a_critica/venezuelanos/2017/04_mai/txt/1.188415_1119.txt", "TXT")</f>
        <v/>
      </c>
    </row>
    <row r="2462">
      <c r="A2462" s="1" t="n">
        <v>2460</v>
      </c>
      <c r="B2462" t="n">
        <v>2017</v>
      </c>
      <c r="C2462" s="2" t="n">
        <v>42851.81934027778</v>
      </c>
      <c r="D2462" t="inlineStr">
        <is>
          <t>A CRITICA</t>
        </is>
      </c>
      <c r="E2462" t="inlineStr">
        <is>
          <t>VENEZUELANOS</t>
        </is>
      </c>
      <c r="F2462" t="inlineStr">
        <is>
          <t>ESPORTES</t>
        </is>
      </c>
      <c r="G2462" t="inlineStr">
        <is>
          <t>DENIR SIMPLÍCIO</t>
        </is>
      </c>
      <c r="H2462" t="inlineStr">
        <is>
          <t>CONHEÇA A HISTÓRIA DO COLECIONADOR QUE TEM MAIS DE 500 CAMISAS DE GOLEIRO</t>
        </is>
      </c>
      <c r="I2462" t="inlineStr">
        <is>
          <t>SÉRGIO SÁ, 49, É COLECIONADOR DE CAMISAS DE CLUBES DE FUTEBOL, MAS ESPECIFICAMENTE DE UNIFORMES DOS GUARDIÕES DO GOL</t>
        </is>
      </c>
      <c r="J2462">
        <f>HYPERLINK("https://www.acritica.com/esportes/conheca-a-historia-do-colecionador-que-tem-mais-de-500-camisas-de-goleiro-1.188179", "URL")</f>
        <v/>
      </c>
      <c r="K2462">
        <f>HYPERLINK("https://raw.githubusercontent.com/marcosmapl/dataset_imigrantes/main/noticias_filtered/a_critica/venezuelanos/2017/03_abr/html/1.188179_108.html", "HTML")</f>
        <v/>
      </c>
      <c r="L2462">
        <f>HYPERLINK("https://raw.githubusercontent.com/marcosmapl/dataset_imigrantes/main/noticias_filtered/a_critica/venezuelanos/2017/03_abr/txt/1.188179_108.txt", "TXT")</f>
        <v/>
      </c>
    </row>
    <row r="2463">
      <c r="A2463" s="1" t="n">
        <v>2461</v>
      </c>
      <c r="B2463" t="n">
        <v>2017</v>
      </c>
      <c r="C2463" s="2" t="n">
        <v>42849.6</v>
      </c>
      <c r="D2463" t="inlineStr">
        <is>
          <t>PORTAL AMAZONIA</t>
        </is>
      </c>
      <c r="E2463" t="inlineStr">
        <is>
          <t>VENEZUELANOS</t>
        </is>
      </c>
      <c r="F2463" t="inlineStr">
        <is>
          <t>EDUCAÇÃO</t>
        </is>
      </c>
      <c r="G2463" t="inlineStr">
        <is>
          <t>REDAÇÃO</t>
        </is>
      </c>
      <c r="H2463" t="inlineStr">
        <is>
          <t>UNIVERSIDADE VIRTUAL DE RORAIMA ABRE SELEÇÃO PARA CADASTRO DE RESERVA DE PROFESSOR</t>
        </is>
      </c>
      <c r="I2463" t="inlineStr">
        <is>
          <t>VAGAS SÃO PARA 11 ÁREAS. FOTO: REPRODUÇÃO/SHUTTERSTOCKAS INSCRIÇÕES GRATUITAS PARA A FORMAÇÃO DE CADASTRO DE RESERVA DE PROFESSORES DA UNIVERSIDADE VIRTUAL DE RORAIMA (UNIVIRR) INICIAM NESTA SEGUNDA-FEIRA (24) E SEGUEM ATÉ SEXTA-FEIRA (28). SÃO</t>
        </is>
      </c>
      <c r="J2463">
        <f>HYPERLINK("https://portalamazonia.com/noticias/educacao/universidade-virtual-de-roraima-abre-selecao-para-cadastro-de-reserva-de-professor", "URL")</f>
        <v/>
      </c>
      <c r="K2463">
        <f>HYPERLINK("https://raw.githubusercontent.com/marcosmapl/dataset_imigrantes/main/noticias_filtered/portal_amazonia/venezuelanos/2017/03_abr/html/6986.6986_1509.html", "HTML")</f>
        <v/>
      </c>
      <c r="L2463">
        <f>HYPERLINK("https://raw.githubusercontent.com/marcosmapl/dataset_imigrantes/main/noticias_filtered/portal_amazonia/venezuelanos/2017/03_abr/txt/6986.6986_1509.txt", "TXT")</f>
        <v/>
      </c>
    </row>
    <row r="2464">
      <c r="A2464" s="1" t="n">
        <v>2462</v>
      </c>
      <c r="B2464" t="n">
        <v>2017</v>
      </c>
      <c r="C2464" s="2" t="n">
        <v>42849.475</v>
      </c>
      <c r="D2464" t="inlineStr">
        <is>
          <t>PORTAL AMAZONIA</t>
        </is>
      </c>
      <c r="E2464" t="inlineStr">
        <is>
          <t>VENEZUELANOS</t>
        </is>
      </c>
      <c r="F2464" t="inlineStr">
        <is>
          <t>EDUCAÇÃO</t>
        </is>
      </c>
      <c r="G2464" t="inlineStr">
        <is>
          <t>REDAÇÃO</t>
        </is>
      </c>
      <c r="H2464" t="inlineStr">
        <is>
          <t>PROFESSOR AMAZONENSE LANÇA DICIONÁRIO DE EDUCAÇÃO FÍSICA EM LIBRAS</t>
        </is>
      </c>
      <c r="I2464" t="inlineStr">
        <is>
          <t>AUXILIAR OS ALUNOS SURDOS NAS AULAS DE EDUCAÇÃO FÍSICA. ESSE ERA O OBJETIVO DO PROJETO DE PESQUISA DO PROFESSOR DE EDUCAÇÃO FÍSICA, KEEGAN BEZERRA PONCE. O PROFESSOR ENTÃO CRIOU UM DICIONÁRIO DE EDUCAÇÃO FÍSICA EM LIBRAS, PARA QUE OS ALUNOS POSSAM PR</t>
        </is>
      </c>
      <c r="J2464">
        <f>HYPERLINK("https://portalamazonia.com/noticias/educacao/professor-amazonense-lanca-dicionario-de-educacao-fisica-em-libras", "URL")</f>
        <v/>
      </c>
      <c r="K2464">
        <f>HYPERLINK("https://raw.githubusercontent.com/marcosmapl/dataset_imigrantes/main/noticias_filtered/portal_amazonia/venezuelanos/2017/03_abr/html/6965.6965_1566.html", "HTML")</f>
        <v/>
      </c>
      <c r="L2464">
        <f>HYPERLINK("https://raw.githubusercontent.com/marcosmapl/dataset_imigrantes/main/noticias_filtered/portal_amazonia/venezuelanos/2017/03_abr/txt/6965.6965_1566.txt", "TXT")</f>
        <v/>
      </c>
    </row>
    <row r="2465">
      <c r="A2465" s="1" t="n">
        <v>2463</v>
      </c>
      <c r="B2465" t="n">
        <v>2017</v>
      </c>
      <c r="C2465" s="2" t="n">
        <v>42846.73263888889</v>
      </c>
      <c r="D2465" t="inlineStr">
        <is>
          <t>A CRITICA</t>
        </is>
      </c>
      <c r="E2465" t="inlineStr">
        <is>
          <t>VENEZUELANOS</t>
        </is>
      </c>
      <c r="F2465" t="inlineStr"/>
      <c r="G2465" t="inlineStr">
        <is>
          <t>PEDRO PEDUZZI - REPÓRTER DA AGÊNCIA BRASIL</t>
        </is>
      </c>
      <c r="H2465" t="inlineStr">
        <is>
          <t>GOVERNOS DA AMÉRICA LATINA CRITICAM INTENSA ONDA DE VIOLÊNCIA NA VENEZUELA</t>
        </is>
      </c>
      <c r="I2465" t="inlineStr">
        <is>
          <t>ESTA SEMANA, TRÊS PESSOAS MORRERAM E MAIS DE 60 FICARAM FERIDAS EM PROTESTOS EM CARACAS E CIDADES DE 14 ESTADOS DO PAÍS. ONDA SE AGRAVOU EM MEIO À POLARIZAÇÃO POLÍTICA NO PAÍS</t>
        </is>
      </c>
      <c r="J2465">
        <f>HYPERLINK("https://www.acritica.com/governos-da-america-latina-criticam-intensa-onda-de-violencia-na-venezuela-1.187348", "URL")</f>
        <v/>
      </c>
      <c r="K2465">
        <f>HYPERLINK("https://raw.githubusercontent.com/marcosmapl/dataset_imigrantes/main/noticias_filtered/a_critica/venezuelanos/2017/03_abr/html/1.187348_659.html", "HTML")</f>
        <v/>
      </c>
      <c r="L2465">
        <f>HYPERLINK("https://raw.githubusercontent.com/marcosmapl/dataset_imigrantes/main/noticias_filtered/a_critica/venezuelanos/2017/03_abr/txt/1.187348_659.txt", "TXT")</f>
        <v/>
      </c>
    </row>
    <row r="2466">
      <c r="A2466" s="1" t="n">
        <v>2464</v>
      </c>
      <c r="B2466" t="n">
        <v>2017</v>
      </c>
      <c r="C2466" s="2" t="n">
        <v>42845.63472222222</v>
      </c>
      <c r="D2466" t="inlineStr">
        <is>
          <t>PORTAL AMAZONIA</t>
        </is>
      </c>
      <c r="E2466" t="inlineStr">
        <is>
          <t>VENEZUELANOS</t>
        </is>
      </c>
      <c r="F2466" t="inlineStr">
        <is>
          <t>EDUCAÇÃO</t>
        </is>
      </c>
      <c r="G2466" t="inlineStr">
        <is>
          <t>REDAÇÃO</t>
        </is>
      </c>
      <c r="H2466" t="inlineStr">
        <is>
          <t>ADAPTAÇÃO: ESCOLAS MUNICIPAIS DE BOA VISTA MUDAM ROTINA PARA ATENDER ALUNOS VENEZUELANOS</t>
        </is>
      </c>
      <c r="I2466" t="inlineStr">
        <is>
          <t>PROFESSORES, DIRETORES, COORDENADORES E ALUNOS DE 53 ESCOLAS MUNICIPAIS DE BOA VISTA TIVERAM QUE MUDAR A ROTINA COM O INÍCIO DO ANO LETIVO DE 2017 PARA RECEBER 408 ALUNOS VENEZUELANOS MATRICULADOS NA REDE PÚBLICA. NA ESCOLA MUNICIPAL JÂNIO DA SILVA Q</t>
        </is>
      </c>
      <c r="J2466">
        <f>HYPERLINK("https://portalamazonia.com/noticias/educacao/adaptacao-escolas-municipais-de-boa-vista-mudam-rotina-para-atender-alunos-venezuelanos", "URL")</f>
        <v/>
      </c>
      <c r="K2466">
        <f>HYPERLINK("https://raw.githubusercontent.com/marcosmapl/dataset_imigrantes/main/noticias_filtered/portal_amazonia/venezuelanos/2017/03_abr/html/6898.6898_1434.html", "HTML")</f>
        <v/>
      </c>
      <c r="L2466">
        <f>HYPERLINK("https://raw.githubusercontent.com/marcosmapl/dataset_imigrantes/main/noticias_filtered/portal_amazonia/venezuelanos/2017/03_abr/txt/6898.6898_1434.txt", "TXT")</f>
        <v/>
      </c>
    </row>
    <row r="2467">
      <c r="A2467" s="1" t="n">
        <v>2465</v>
      </c>
      <c r="B2467" t="n">
        <v>2017</v>
      </c>
      <c r="C2467" s="2" t="n">
        <v>42845.49375</v>
      </c>
      <c r="D2467" t="inlineStr">
        <is>
          <t>PORTAL AMAZONIA</t>
        </is>
      </c>
      <c r="E2467" t="inlineStr">
        <is>
          <t>VENEZUELANOS</t>
        </is>
      </c>
      <c r="F2467" t="inlineStr">
        <is>
          <t>CIDADES</t>
        </is>
      </c>
      <c r="G2467" t="inlineStr">
        <is>
          <t>REDAÇÃO</t>
        </is>
      </c>
      <c r="H2467" t="inlineStr">
        <is>
          <t>EXÉRCITO BRASILEIRO: BRAÇO FORTE E MÃO AMIGA NA AMAZÔNIA</t>
        </is>
      </c>
      <c r="I2467" t="inlineStr">
        <is>
          <t>O EXÉRCITO BRASILEIRO NÃO SÓ PARTICIPA DA VIDA DA POPULAÇÃO POR MEIO DE ATRIBUIÇÕES CONSTITUCIONAIS, COMO TAMBÉM POR DESENVOLVER UMA IMPORTANTE MISSÃO DE CUNHO SOCIAL. ATRAVÉS DAS MUITAS UNIDADES MILITARES IMPLANTADAS POR TODO O T</t>
        </is>
      </c>
      <c r="J2467">
        <f>HYPERLINK("https://portalamazonia.com/noticias/cidades/exercito-brasileiro-braco-forte-e-mao-amiga-na-amazonia", "URL")</f>
        <v/>
      </c>
      <c r="K2467">
        <f>HYPERLINK("https://raw.githubusercontent.com/marcosmapl/dataset_imigrantes/main/noticias_filtered/portal_amazonia/venezuelanos/2017/03_abr/html/6877.6877_1498.html", "HTML")</f>
        <v/>
      </c>
      <c r="L2467">
        <f>HYPERLINK("https://raw.githubusercontent.com/marcosmapl/dataset_imigrantes/main/noticias_filtered/portal_amazonia/venezuelanos/2017/03_abr/txt/6877.6877_1498.txt", "TXT")</f>
        <v/>
      </c>
    </row>
    <row r="2468">
      <c r="A2468" s="1" t="n">
        <v>2466</v>
      </c>
      <c r="B2468" t="n">
        <v>2017</v>
      </c>
      <c r="C2468" s="2" t="n">
        <v>42844.33333333334</v>
      </c>
      <c r="D2468" t="inlineStr">
        <is>
          <t>A CRITICA</t>
        </is>
      </c>
      <c r="E2468" t="inlineStr">
        <is>
          <t>VENEZUELANOS</t>
        </is>
      </c>
      <c r="F2468" t="inlineStr"/>
      <c r="G2468" t="inlineStr"/>
      <c r="H2468" t="inlineStr">
        <is>
          <t>‘SOS  LIMPEZA’ DE R$ 1 MILHÃO NA POLÍCIA CIVIL</t>
        </is>
      </c>
      <c r="I2468" t="inlineStr"/>
      <c r="J2468">
        <f>HYPERLINK("https://www.acritica.com/sos-limpeza-de-r-1-milh-o-na-policia-civil-1.231120", "URL")</f>
        <v/>
      </c>
      <c r="K2468">
        <f>HYPERLINK("https://raw.githubusercontent.com/marcosmapl/dataset_imigrantes/main/noticias_filtered/a_critica/venezuelanos/2017/03_abr/html/1.231120_43.html", "HTML")</f>
        <v/>
      </c>
      <c r="L2468">
        <f>HYPERLINK("https://raw.githubusercontent.com/marcosmapl/dataset_imigrantes/main/noticias_filtered/a_critica/venezuelanos/2017/03_abr/txt/1.231120_43.txt", "TXT")</f>
        <v/>
      </c>
    </row>
    <row r="2469">
      <c r="A2469" s="1" t="n">
        <v>2467</v>
      </c>
      <c r="B2469" t="n">
        <v>2017</v>
      </c>
      <c r="C2469" s="2" t="n">
        <v>42843.91180555556</v>
      </c>
      <c r="D2469" t="inlineStr">
        <is>
          <t>PORTAL AMAZONIA</t>
        </is>
      </c>
      <c r="E2469" t="inlineStr">
        <is>
          <t>VENEZUELANOS</t>
        </is>
      </c>
      <c r="F2469" t="inlineStr">
        <is>
          <t>CIDADES</t>
        </is>
      </c>
      <c r="G2469" t="inlineStr">
        <is>
          <t>REDAÇÃO</t>
        </is>
      </c>
      <c r="H2469" t="inlineStr">
        <is>
          <t>MIGRAÇÃO VENEZUELANA AO BRASIL QUINTUPLICOU EM 2016, DIZ ONG</t>
        </is>
      </c>
      <c r="I2469" t="inlineStr">
        <is>
          <t>O NÚMERO DE VENEZUELANOS QUE INGRESSARAM E PERMANECERAM NO BRASIL DEVE AUMENTOU MAIS DE CINCO VEZES ENTRE 2014 E O ANO PASSADO. ESTA FOI A CONCLUSÃO DE UM RELATÓRIO DIVULGADO NESTA TERÇA-FEIRA (18) PELA ONG HUMAN RIGHTS WATCH (HRW). DE ACORDO COM O D</t>
        </is>
      </c>
      <c r="J2469">
        <f>HYPERLINK("https://portalamazonia.com/noticias/cidades/migracao-venezuelana-ao-brasil-quintuplicou-em-2016-diz-ong", "URL")</f>
        <v/>
      </c>
      <c r="K2469">
        <f>HYPERLINK("https://raw.githubusercontent.com/marcosmapl/dataset_imigrantes/main/noticias_filtered/portal_amazonia/venezuelanos/2017/03_abr/html/6824.6824_1456.html", "HTML")</f>
        <v/>
      </c>
      <c r="L2469">
        <f>HYPERLINK("https://raw.githubusercontent.com/marcosmapl/dataset_imigrantes/main/noticias_filtered/portal_amazonia/venezuelanos/2017/03_abr/txt/6824.6824_1456.txt", "TXT")</f>
        <v/>
      </c>
    </row>
    <row r="2470">
      <c r="A2470" s="1" t="n">
        <v>2468</v>
      </c>
      <c r="B2470" t="n">
        <v>2017</v>
      </c>
      <c r="C2470" s="2" t="n">
        <v>42843.90486111111</v>
      </c>
      <c r="D2470" t="inlineStr">
        <is>
          <t>PORTAL AMAZONIA</t>
        </is>
      </c>
      <c r="E2470" t="inlineStr">
        <is>
          <t>VENEZUELANOS</t>
        </is>
      </c>
      <c r="F2470" t="inlineStr">
        <is>
          <t>CIDADES</t>
        </is>
      </c>
      <c r="G2470" t="inlineStr">
        <is>
          <t>REDAÇÃO</t>
        </is>
      </c>
      <c r="H2470" t="inlineStr">
        <is>
          <t>MORANDO NAS RUAS, ÍNDIOS VENEZUELANOS CONTAM COM AJUDA DE MANAUARAS</t>
        </is>
      </c>
      <c r="I2470" t="inlineStr">
        <is>
          <t>CERCA DE 40 INDÍGENAS VENEZUELANOS, ENTRE CRIANÇAS E ADULTOS, ESTÃO VIVENDO HÁ MAIS DE UM MÊS DEBAIXO DE UM VIADUTO NA AVENIDA CONSTANTINO NERY, AO LADO DA ESTAÇÃO RODOVIÁRIA MUNICIPAL. UM GRUPO DA ETNIA WARAO RECEBEU A EQUIPE DE REPORTAGEM DO PORTAL</t>
        </is>
      </c>
      <c r="J2470">
        <f>HYPERLINK("https://portalamazonia.com/noticias/cidades/morando-nas-ruas-indios-venezuelanos-contam-com-ajuda-de-manauaras", "URL")</f>
        <v/>
      </c>
      <c r="K2470">
        <f>HYPERLINK("https://raw.githubusercontent.com/marcosmapl/dataset_imigrantes/main/noticias_filtered/portal_amazonia/venezuelanos/2017/03_abr/html/6825.6825_1385.html", "HTML")</f>
        <v/>
      </c>
      <c r="L2470">
        <f>HYPERLINK("https://raw.githubusercontent.com/marcosmapl/dataset_imigrantes/main/noticias_filtered/portal_amazonia/venezuelanos/2017/03_abr/txt/6825.6825_1385.txt", "TXT")</f>
        <v/>
      </c>
    </row>
    <row r="2471">
      <c r="A2471" s="1" t="n">
        <v>2469</v>
      </c>
      <c r="B2471" t="n">
        <v>2017</v>
      </c>
      <c r="C2471" s="2" t="n">
        <v>42841.88194444445</v>
      </c>
      <c r="D2471" t="inlineStr">
        <is>
          <t>G1</t>
        </is>
      </c>
      <c r="E2471" t="inlineStr">
        <is>
          <t>VENEZUELANOS</t>
        </is>
      </c>
      <c r="F2471" t="inlineStr"/>
      <c r="G2471" t="inlineStr"/>
      <c r="H2471" t="inlineStr">
        <is>
          <t>SOLIDARIEDADE BRASILEIRA MANTÉM CORAÇÃO DE VENEZUELANA BATENDO</t>
        </is>
      </c>
      <c r="I2471" t="inlineStr"/>
      <c r="J2471">
        <f>HYPERLINK("http://g1.globo.com/fantastico/noticia/2017/04/solidariedade-brasileira-mantem-coracao-de-venezuelana-batendo.html", "URL")</f>
        <v/>
      </c>
      <c r="K2471">
        <f>HYPERLINK("https://raw.githubusercontent.com/marcosmapl/dataset_imigrantes/main/noticias_filtered/g1/venezuelanos/2017/03_abr/html/g1_74886734-231e-11ed-b24f-6dbe51e79fca_3562.html", "HTML")</f>
        <v/>
      </c>
      <c r="L2471">
        <f>HYPERLINK("https://raw.githubusercontent.com/marcosmapl/dataset_imigrantes/main/noticias_filtered/g1/venezuelanos/2017/03_abr/txt/g1_74886734-231e-11ed-b24f-6dbe51e79fca_3562.txt", "TXT")</f>
        <v/>
      </c>
    </row>
    <row r="2472">
      <c r="A2472" s="1" t="n">
        <v>2470</v>
      </c>
      <c r="B2472" t="n">
        <v>2017</v>
      </c>
      <c r="C2472" s="2" t="n">
        <v>42838.86597222222</v>
      </c>
      <c r="D2472" t="inlineStr">
        <is>
          <t>PORTAL AMAZONIA</t>
        </is>
      </c>
      <c r="E2472" t="inlineStr">
        <is>
          <t>VENEZUELANOS</t>
        </is>
      </c>
      <c r="F2472" t="inlineStr">
        <is>
          <t>NOTÍCIAS</t>
        </is>
      </c>
      <c r="G2472" t="inlineStr">
        <is>
          <t>REDAÇÃO</t>
        </is>
      </c>
      <c r="H2472" t="inlineStr">
        <is>
          <t>PROJETO &amp;#039;ARTE E SOLIDARIEDADE&amp;#039; ARRECADA DOAÇÕES PARA FAMÍLIAS VENEZUELANAS NO AM</t>
        </is>
      </c>
      <c r="I2472" t="inlineStr">
        <is>
          <t>MANAUS - O PROJETO ARTE E SOLIDARIEDADE VAI ARRECADAR, NESTA QUINTA-FEIRA (13), ÀS 19H, DOAÇÕES PARA FAMÍLIAS VENEZUELANAS QUE ESTÃO MORANDO EM MANAUS. AS DOAÇÕES PODERÃO SER ENTREGUES NA CONFRARIA DO CIPRIANO, LOCALIZADA NA AVENIDA FERREIRA PENA,</t>
        </is>
      </c>
      <c r="J2472">
        <f>HYPERLINK("https://portalamazonia.com/noticias/projeto-arte-e-solidariedade-arrecada-doacoes-para-familias-venezuelanas-no-am", "URL")</f>
        <v/>
      </c>
      <c r="K2472">
        <f>HYPERLINK("https://raw.githubusercontent.com/marcosmapl/dataset_imigrantes/main/noticias_filtered/portal_amazonia/venezuelanos/2017/03_abr/html/6687.28639_1541.html", "HTML")</f>
        <v/>
      </c>
      <c r="L2472">
        <f>HYPERLINK("https://raw.githubusercontent.com/marcosmapl/dataset_imigrantes/main/noticias_filtered/portal_amazonia/venezuelanos/2017/03_abr/txt/6687.28639_1541.txt", "TXT")</f>
        <v/>
      </c>
    </row>
    <row r="2473">
      <c r="A2473" s="1" t="n">
        <v>2471</v>
      </c>
      <c r="B2473" t="n">
        <v>2017</v>
      </c>
      <c r="C2473" s="2" t="n">
        <v>42838.86527777778</v>
      </c>
      <c r="D2473" t="inlineStr">
        <is>
          <t>PORTAL AMAZONIA</t>
        </is>
      </c>
      <c r="E2473" t="inlineStr">
        <is>
          <t>VENEZUELANOS</t>
        </is>
      </c>
      <c r="F2473" t="inlineStr">
        <is>
          <t>CIDADES</t>
        </is>
      </c>
      <c r="G2473" t="inlineStr">
        <is>
          <t>REDAÇÃO</t>
        </is>
      </c>
      <c r="H2473" t="inlineStr">
        <is>
          <t>RORAIMA CONTINUARÁ OFERECENDO ABRIGO A VENEZUELANOS</t>
        </is>
      </c>
      <c r="I2473" t="inlineStr">
        <is>
          <t>TERMINA NESTE SÁBADO (15) O PRAZO DE FUNCIONAMENTO DO GABINETE INTEGRADO DE GESTÃO MIGRATÓRIA, CRIADO PARA DAR APOIO AOS VENEZUELANOS REFUGIADO EM RORAIMA, CONFORME PREVISTO NO DECRETO Nº 21.871-E. MAS, SEGUNDO O GOVERNO DO ESTADO, O CENTRO VAI CONTI</t>
        </is>
      </c>
      <c r="J2473">
        <f>HYPERLINK("https://portalamazonia.com/noticias/cidades/roraima-continuara-oferecendo-abrigo-a-venezuelanos", "URL")</f>
        <v/>
      </c>
      <c r="K2473">
        <f>HYPERLINK("https://raw.githubusercontent.com/marcosmapl/dataset_imigrantes/main/noticias_filtered/portal_amazonia/venezuelanos/2017/03_abr/html/6685.6685_1553.html", "HTML")</f>
        <v/>
      </c>
      <c r="L2473">
        <f>HYPERLINK("https://raw.githubusercontent.com/marcosmapl/dataset_imigrantes/main/noticias_filtered/portal_amazonia/venezuelanos/2017/03_abr/txt/6685.6685_1553.txt", "TXT")</f>
        <v/>
      </c>
    </row>
    <row r="2474">
      <c r="A2474" s="1" t="n">
        <v>2472</v>
      </c>
      <c r="B2474" t="n">
        <v>2017</v>
      </c>
      <c r="C2474" s="2" t="n">
        <v>42837.86944444444</v>
      </c>
      <c r="D2474" t="inlineStr">
        <is>
          <t>A CRITICA</t>
        </is>
      </c>
      <c r="E2474" t="inlineStr">
        <is>
          <t>VENEZUELANOS</t>
        </is>
      </c>
      <c r="F2474" t="inlineStr"/>
      <c r="G2474" t="inlineStr">
        <is>
          <t>REUTERS</t>
        </is>
      </c>
      <c r="H2474" t="inlineStr">
        <is>
          <t>PROTESTOS NA VENEZUELA SE ESPALHAM POR ÁREAS POBRES E DEIXAM MAIS 2 MORTOS</t>
        </is>
      </c>
      <c r="I2474" t="inlineStr">
        <is>
          <t>TESTEMUNHAS DISSERAM QUE MORADORES DE VÁRIOS BAIRROS DA CLASSE TRABALHADORA DE CARACAS INTERDITARAM RUAS COM LIXO OU DESTROÇOS EM CHAMAS</t>
        </is>
      </c>
      <c r="J2474">
        <f>HYPERLINK("https://www.acritica.com/protestos-na-venezuela-se-espalham-por-areas-pobres-e-deixam-mais-2-mortos-1.186105", "URL")</f>
        <v/>
      </c>
      <c r="K2474">
        <f>HYPERLINK("https://raw.githubusercontent.com/marcosmapl/dataset_imigrantes/main/noticias_filtered/a_critica/venezuelanos/2017/03_abr/html/1.186105_1037.html", "HTML")</f>
        <v/>
      </c>
      <c r="L2474">
        <f>HYPERLINK("https://raw.githubusercontent.com/marcosmapl/dataset_imigrantes/main/noticias_filtered/a_critica/venezuelanos/2017/03_abr/txt/1.186105_1037.txt", "TXT")</f>
        <v/>
      </c>
    </row>
    <row r="2475">
      <c r="A2475" s="1" t="n">
        <v>2473</v>
      </c>
      <c r="B2475" t="n">
        <v>2017</v>
      </c>
      <c r="C2475" s="2" t="n">
        <v>42837.6125</v>
      </c>
      <c r="D2475" t="inlineStr">
        <is>
          <t>A CRITICA</t>
        </is>
      </c>
      <c r="E2475" t="inlineStr">
        <is>
          <t>VENEZUELANOS</t>
        </is>
      </c>
      <c r="F2475" t="inlineStr">
        <is>
          <t>ENTRETENIMENTO</t>
        </is>
      </c>
      <c r="G2475" t="inlineStr">
        <is>
          <t>ACRÍTICA.COM</t>
        </is>
      </c>
      <c r="H2475" t="inlineStr">
        <is>
          <t>EXPOSIÇÃO GRATUITA EM BAR VAI ARRECADAR DONATIVOS PARA FAMÍLIAS VENEZUELANAS</t>
        </is>
      </c>
      <c r="I2475" t="inlineStr">
        <is>
          <t>A AÇÃO SERÁ REALIZADA  POR MEIO DO PROJETO "ARTE E SOLIDARIEDADE", NA  CONFRARIA DO CIPRIANO, NA PRÓXIMA QUINTA-FEIRA (13), A PARTIR DAS 19H</t>
        </is>
      </c>
      <c r="J2475">
        <f>HYPERLINK("https://www.acritica.com/entretenimento/exposic-o-gratuita-em-bar-vai-arrecadar-donativos-para-familias-venezuelanas-1.88573", "URL")</f>
        <v/>
      </c>
      <c r="K2475">
        <f>HYPERLINK("https://raw.githubusercontent.com/marcosmapl/dataset_imigrantes/main/noticias_filtered/a_critica/venezuelanos/2017/03_abr/html/1.88573_1113.html", "HTML")</f>
        <v/>
      </c>
      <c r="L2475">
        <f>HYPERLINK("https://raw.githubusercontent.com/marcosmapl/dataset_imigrantes/main/noticias_filtered/a_critica/venezuelanos/2017/03_abr/txt/1.88573_1113.txt", "TXT")</f>
        <v/>
      </c>
    </row>
    <row r="2476">
      <c r="A2476" s="1" t="n">
        <v>2474</v>
      </c>
      <c r="B2476" t="n">
        <v>2017</v>
      </c>
      <c r="C2476" s="2" t="n">
        <v>42837.56570601852</v>
      </c>
      <c r="D2476" t="inlineStr">
        <is>
          <t>A CRITICA</t>
        </is>
      </c>
      <c r="E2476" t="inlineStr">
        <is>
          <t>VENEZUELANOS</t>
        </is>
      </c>
      <c r="F2476" t="inlineStr"/>
      <c r="G2476" t="inlineStr">
        <is>
          <t>AGÊNCIA EFE</t>
        </is>
      </c>
      <c r="H2476" t="inlineStr">
        <is>
          <t>MADURO É VAIADO E ATACADO COM OBJETOS APÓS DESFILE MILITAR NA VENEZUELA</t>
        </is>
      </c>
      <c r="I2476" t="inlineStr">
        <is>
          <t>MADURO CUMPRIMENTAVA OS PARTICIPANTES APÓS O TÉRMINO DO DESFILE, QUANDO ALGUMAS PESSOAS NA PLATÉIA COMEÇARAM A ATIRAR OBJETOS CONTRA ELE</t>
        </is>
      </c>
      <c r="J2476">
        <f>HYPERLINK("https://www.acritica.com/maduro-e-vaiado-e-atacado-com-objetos-apos-desfile-militar-na-venezuela-1.88581", "URL")</f>
        <v/>
      </c>
      <c r="K2476">
        <f>HYPERLINK("https://raw.githubusercontent.com/marcosmapl/dataset_imigrantes/main/noticias_filtered/a_critica/venezuelanos/2017/03_abr/html/1.88581_1188.html", "HTML")</f>
        <v/>
      </c>
      <c r="L2476">
        <f>HYPERLINK("https://raw.githubusercontent.com/marcosmapl/dataset_imigrantes/main/noticias_filtered/a_critica/venezuelanos/2017/03_abr/txt/1.88581_1188.txt", "TXT")</f>
        <v/>
      </c>
    </row>
    <row r="2477">
      <c r="A2477" s="1" t="n">
        <v>2475</v>
      </c>
      <c r="B2477" t="n">
        <v>2017</v>
      </c>
      <c r="C2477" s="2" t="n">
        <v>42837.33333333334</v>
      </c>
      <c r="D2477" t="inlineStr">
        <is>
          <t>A CRITICA</t>
        </is>
      </c>
      <c r="E2477" t="inlineStr">
        <is>
          <t>VENEZUELANOS</t>
        </is>
      </c>
      <c r="F2477" t="inlineStr">
        <is>
          <t>MANAUS</t>
        </is>
      </c>
      <c r="G2477" t="inlineStr">
        <is>
          <t>AMANDA GUIMARÃES</t>
        </is>
      </c>
      <c r="H2477" t="inlineStr">
        <is>
          <t>INDÍGENAS VENEZUELANOS OCUPAM CENTRO DE MANAUS EM BUSCA DE RENDA</t>
        </is>
      </c>
      <c r="I2477" t="inlineStr">
        <is>
          <t>OS GRUPOS DE VENEZUELANOS CONTINUAM ESPALHADOS NA RODOVIÁRIA, PETRÓPOLIS E CIDADE NOVA, MAS SE ENCAMINHAM AO CENTRO DA CIDADE PARA PEDIR DINHEIRO OU TRABALHAR</t>
        </is>
      </c>
      <c r="J2477">
        <f>HYPERLINK("https://www.acritica.com/manaus/indigenas-venezuelanos-ocupam-centro-de-manaus-em-busca-de-renda-1.185018", "URL")</f>
        <v/>
      </c>
      <c r="K2477">
        <f>HYPERLINK("https://raw.githubusercontent.com/marcosmapl/dataset_imigrantes/main/noticias_filtered/a_critica/venezuelanos/2017/03_abr/html/1.185018_1219.html", "HTML")</f>
        <v/>
      </c>
      <c r="L2477">
        <f>HYPERLINK("https://raw.githubusercontent.com/marcosmapl/dataset_imigrantes/main/noticias_filtered/a_critica/venezuelanos/2017/03_abr/txt/1.185018_1219.txt", "TXT")</f>
        <v/>
      </c>
    </row>
    <row r="2478">
      <c r="A2478" s="1" t="n">
        <v>2476</v>
      </c>
      <c r="B2478" t="n">
        <v>2017</v>
      </c>
      <c r="C2478" s="2" t="n">
        <v>42834.82361111111</v>
      </c>
      <c r="D2478" t="inlineStr">
        <is>
          <t>A CRITICA</t>
        </is>
      </c>
      <c r="E2478" t="inlineStr">
        <is>
          <t>VENEZUELANOS</t>
        </is>
      </c>
      <c r="F2478" t="inlineStr">
        <is>
          <t>MANAUS</t>
        </is>
      </c>
      <c r="G2478" t="inlineStr">
        <is>
          <t>PAULO ANDRÉ NUNES</t>
        </is>
      </c>
      <c r="H2478" t="inlineStr">
        <is>
          <t>DEMANDA AUMENTA E COZINHAS COMUNITÁRIAS DA CIDADE DE MANAUS PRECISAM DE DOAÇÕES</t>
        </is>
      </c>
      <c r="I2478" t="inlineStr">
        <is>
          <t>UMA DAS COZINHAS QUE ESTÃO RECEBENDO DOAÇÕES É DO BAIRRO COLÔNIA ANTONIO ALEIXO. DE SEGUNDA A SEXTA-FEIRA SÃO SERVIDOS 200 PRATOS DE COMIDA, MAIS UMA FRUTA E SUCO PARA PESSOAS DE BAIXA RENDA NESTE LOCAL</t>
        </is>
      </c>
      <c r="J2478">
        <f>HYPERLINK("https://www.acritica.com/manaus/demanda-aumenta-e-cozinhas-comunitarias-da-cidade-de-manaus-precisam-de-doac-es-1.91068", "URL")</f>
        <v/>
      </c>
      <c r="K2478">
        <f>HYPERLINK("https://raw.githubusercontent.com/marcosmapl/dataset_imigrantes/main/noticias_filtered/a_critica/venezuelanos/2017/03_abr/html/1.91068_798.html", "HTML")</f>
        <v/>
      </c>
      <c r="L2478">
        <f>HYPERLINK("https://raw.githubusercontent.com/marcosmapl/dataset_imigrantes/main/noticias_filtered/a_critica/venezuelanos/2017/03_abr/txt/1.91068_798.txt", "TXT")</f>
        <v/>
      </c>
    </row>
    <row r="2479">
      <c r="A2479" s="1" t="n">
        <v>2477</v>
      </c>
      <c r="B2479" t="n">
        <v>2017</v>
      </c>
      <c r="C2479" s="2" t="n">
        <v>42832.47638888889</v>
      </c>
      <c r="D2479" t="inlineStr">
        <is>
          <t>G1</t>
        </is>
      </c>
      <c r="E2479" t="inlineStr">
        <is>
          <t>HAITIANOS</t>
        </is>
      </c>
      <c r="F2479" t="inlineStr"/>
      <c r="G2479" t="inlineStr">
        <is>
          <t>1 SUL DE MINAS</t>
        </is>
      </c>
      <c r="H2479" t="inlineStr">
        <is>
          <t>HAITIANOS MORREM APÓS BATIDA ENTRE DOIS VEÍCULOS NA BR-381, EM CAMBUÍ</t>
        </is>
      </c>
      <c r="I2479" t="inlineStr"/>
      <c r="J2479">
        <f>HYPERLINK("http://g1.globo.com/mg/sul-de-minas/noticia/2017/04/haitianos-morrem-apos-batida-entre-dois-veiculos-na-br-381-em-cambui.html", "URL")</f>
        <v/>
      </c>
      <c r="K2479">
        <f>HYPERLINK("https://raw.githubusercontent.com/marcosmapl/dataset_imigrantes/main/noticias_filtered/g1/haitianos/2017/03_abr/html/g1_fb2df5d6-22f3-11ed-b24f-6dbe51e79fca_1868.html", "HTML")</f>
        <v/>
      </c>
      <c r="L2479">
        <f>HYPERLINK("https://raw.githubusercontent.com/marcosmapl/dataset_imigrantes/main/noticias_filtered/g1/haitianos/2017/03_abr/txt/g1_fb2df5d6-22f3-11ed-b24f-6dbe51e79fca_1868.txt", "TXT")</f>
        <v/>
      </c>
    </row>
    <row r="2480">
      <c r="A2480" s="1" t="n">
        <v>2478</v>
      </c>
      <c r="B2480" t="n">
        <v>2017</v>
      </c>
      <c r="C2480" s="2" t="n">
        <v>42832.33333333334</v>
      </c>
      <c r="D2480" t="inlineStr">
        <is>
          <t>A CRITICA</t>
        </is>
      </c>
      <c r="E2480" t="inlineStr">
        <is>
          <t>HAITIANOS</t>
        </is>
      </c>
      <c r="F2480" t="inlineStr">
        <is>
          <t>MANAUS</t>
        </is>
      </c>
      <c r="G2480" t="inlineStr">
        <is>
          <t>ACRÍTICA.COM</t>
        </is>
      </c>
      <c r="H2480" t="inlineStr">
        <is>
          <t>SABINO CASTELO BRANCO PEDE PROTEÇÃO DA POLÍCIA APÓS SOFRER AMEAÇA DE MORTE</t>
        </is>
      </c>
      <c r="I2480" t="inlineStr">
        <is>
          <t>DE ACORDO COM O PARLAMENTAR, ESTA NÃO FOI A PRIMEIRA VEZ QUE ELE FOI “CAÇADO” POR PESSOAS ENVOLVIDAS COM O CRIME ORGANIZADO</t>
        </is>
      </c>
      <c r="J2480">
        <f>HYPERLINK("https://www.acritica.com/manaus/sabino-castelo-branco-pede-protec-o-da-policia-apos-sofrer-ameaca-de-morte-1.91823", "URL")</f>
        <v/>
      </c>
      <c r="K2480">
        <f>HYPERLINK("https://raw.githubusercontent.com/marcosmapl/dataset_imigrantes/main/noticias_filtered/a_critica/haitianos/2017/03_abr/html/1.91823_515.html", "HTML")</f>
        <v/>
      </c>
      <c r="L2480">
        <f>HYPERLINK("https://raw.githubusercontent.com/marcosmapl/dataset_imigrantes/main/noticias_filtered/a_critica/haitianos/2017/03_abr/txt/1.91823_515.txt", "TXT")</f>
        <v/>
      </c>
    </row>
    <row r="2481">
      <c r="A2481" s="1" t="n">
        <v>2479</v>
      </c>
      <c r="B2481" t="n">
        <v>2017</v>
      </c>
      <c r="C2481" s="2" t="n">
        <v>42829.78263888889</v>
      </c>
      <c r="D2481" t="inlineStr">
        <is>
          <t>A CRITICA</t>
        </is>
      </c>
      <c r="E2481" t="inlineStr">
        <is>
          <t>VENEZUELANOS</t>
        </is>
      </c>
      <c r="F2481" t="inlineStr">
        <is>
          <t>MANAUS</t>
        </is>
      </c>
      <c r="G2481" t="inlineStr">
        <is>
          <t>ISABELLE VALOIS</t>
        </is>
      </c>
      <c r="H2481" t="inlineStr">
        <is>
          <t>INDÍGENAS VENEZUELANOS QUE VIVEM EM MANAUS SEGUEM SEM PREVISÃO DE RETORNO</t>
        </is>
      </c>
      <c r="I2481" t="inlineStr">
        <is>
          <t>SEJUSC ESPERA RESPOSTA DA PRESIDÊNCIA DA REPÚBLICA PARA O TRANSPORTE DOS IMIGRANTES A SUAS TERRAS DE ORIGEM</t>
        </is>
      </c>
      <c r="J2481">
        <f>HYPERLINK("https://www.acritica.com/manaus/indigenas-venezuelanos-que-vivem-em-manaus-seguem-sem-previs-o-de-retorno-1.184636", "URL")</f>
        <v/>
      </c>
      <c r="K2481">
        <f>HYPERLINK("https://raw.githubusercontent.com/marcosmapl/dataset_imigrantes/main/noticias_filtered/a_critica/venezuelanos/2017/03_abr/html/1.184636_305.html", "HTML")</f>
        <v/>
      </c>
      <c r="L2481">
        <f>HYPERLINK("https://raw.githubusercontent.com/marcosmapl/dataset_imigrantes/main/noticias_filtered/a_critica/venezuelanos/2017/03_abr/txt/1.184636_305.txt", "TXT")</f>
        <v/>
      </c>
    </row>
    <row r="2482">
      <c r="A2482" s="1" t="n">
        <v>2480</v>
      </c>
      <c r="B2482" t="n">
        <v>2017</v>
      </c>
      <c r="C2482" s="2" t="n">
        <v>42829.33333333334</v>
      </c>
      <c r="D2482" t="inlineStr">
        <is>
          <t>A CRITICA</t>
        </is>
      </c>
      <c r="E2482" t="inlineStr">
        <is>
          <t>VENEZUELANOS</t>
        </is>
      </c>
      <c r="F2482" t="inlineStr">
        <is>
          <t>MANAUS</t>
        </is>
      </c>
      <c r="G2482" t="inlineStr">
        <is>
          <t>PAULO ANDRÉ NUNES</t>
        </is>
      </c>
      <c r="H2482" t="inlineStr">
        <is>
          <t>IRMÃOS VENEZUELANOS IMPROVISAM UM SALÃO DE CORTE DE CABELO DE FRENTE PARA O RIO NEGRO</t>
        </is>
      </c>
      <c r="I2482" t="inlineStr">
        <is>
          <t>AMBOS FUGIRAM DA CRISE EM SEU PAÍS NATAL PARA TENTAR A SORTE COM SUAS FAMÍLIAS EM MANAUS; NO LOCAL, IMPROVISADO, O CORTE DE CABELO CUSTA R$ 5, BEM MENOS QUE A MÉDIA NORMAL QUE OSCILA ENTRE R$ 10 A R$ 20 EM SALÕES POPULARES</t>
        </is>
      </c>
      <c r="J2482">
        <f>HYPERLINK("https://www.acritica.com/manaus/irm-os-venezuelanos-improvisam-um-sal-o-de-corte-de-cabelo-de-frente-para-o-rio-negro-1.184651", "URL")</f>
        <v/>
      </c>
      <c r="K2482">
        <f>HYPERLINK("https://raw.githubusercontent.com/marcosmapl/dataset_imigrantes/main/noticias_filtered/a_critica/venezuelanos/2017/03_abr/html/1.184651_641.html", "HTML")</f>
        <v/>
      </c>
      <c r="L2482">
        <f>HYPERLINK("https://raw.githubusercontent.com/marcosmapl/dataset_imigrantes/main/noticias_filtered/a_critica/venezuelanos/2017/03_abr/txt/1.184651_641.txt", "TXT")</f>
        <v/>
      </c>
    </row>
    <row r="2483">
      <c r="A2483" s="1" t="n">
        <v>2481</v>
      </c>
      <c r="B2483" t="n">
        <v>2017</v>
      </c>
      <c r="C2483" s="2" t="n">
        <v>42829.33333333334</v>
      </c>
      <c r="D2483" t="inlineStr">
        <is>
          <t>A CRITICA</t>
        </is>
      </c>
      <c r="E2483" t="inlineStr">
        <is>
          <t>HAITIANOS</t>
        </is>
      </c>
      <c r="F2483" t="inlineStr">
        <is>
          <t>MANAUS</t>
        </is>
      </c>
      <c r="G2483" t="inlineStr">
        <is>
          <t>PAULO ANDRÉ NUNES</t>
        </is>
      </c>
      <c r="H2483" t="inlineStr">
        <is>
          <t>ABERTURA DA 6ª SEMANA SAÚDE NA ESCOLA MOSTRA ALUNOS CONSCIENTES CONTRA DOENÇAS</t>
        </is>
      </c>
      <c r="I2483" t="inlineStr">
        <is>
          <t>ABERTURA FOI MARCADA POR ESTUDANTES MOSTRANDO QUE ESTÃO ENGAJADOS LITERALMENTE NA GUERRA CONTRA O MOSQUITO AEDES AEGYPTI</t>
        </is>
      </c>
      <c r="J2483">
        <f>HYPERLINK("https://www.acritica.com/manaus/abertura-da-6-semana-saude-na-escola-mostra-alunos-conscientes-contra-doencas-1.184665", "URL")</f>
        <v/>
      </c>
      <c r="K2483">
        <f>HYPERLINK("https://raw.githubusercontent.com/marcosmapl/dataset_imigrantes/main/noticias_filtered/a_critica/haitianos/2017/03_abr/html/1.184665_957.html", "HTML")</f>
        <v/>
      </c>
      <c r="L2483">
        <f>HYPERLINK("https://raw.githubusercontent.com/marcosmapl/dataset_imigrantes/main/noticias_filtered/a_critica/haitianos/2017/03_abr/txt/1.184665_957.txt", "TXT")</f>
        <v/>
      </c>
    </row>
    <row r="2484">
      <c r="A2484" s="1" t="n">
        <v>2482</v>
      </c>
      <c r="B2484" t="n">
        <v>2017</v>
      </c>
      <c r="C2484" s="2" t="n">
        <v>42828.49478009259</v>
      </c>
      <c r="D2484" t="inlineStr">
        <is>
          <t>A CRITICA</t>
        </is>
      </c>
      <c r="E2484" t="inlineStr">
        <is>
          <t>VENEZUELANOS</t>
        </is>
      </c>
      <c r="F2484" t="inlineStr">
        <is>
          <t>MANAUS</t>
        </is>
      </c>
      <c r="G2484" t="inlineStr">
        <is>
          <t>KELLY MELO</t>
        </is>
      </c>
      <c r="H2484" t="inlineStr">
        <is>
          <t>MISSIONÁRIOS REALIZAM PARTIDAS DE FUTEBOL PARA AJUDAR VENEZUELANOS EM CRISE</t>
        </is>
      </c>
      <c r="I2484" t="inlineStr">
        <is>
          <t>MEMBROS DE IGREJAS CATÓLICAS E EVANGÉLICAS PROMOVEM AÇÃO ONDE CADA PARTICIPANTE COLABORA COM APENAS R$ 1. ARRECADAÇÃO É ENVIADA PARA COMUNIDADE NA VENEZUELA, QUE SOFRE COM RECESSÃO ECONÔMICA</t>
        </is>
      </c>
      <c r="J2484">
        <f>HYPERLINK("https://www.acritica.com/manaus/missionarios-realizam-partidas-de-futebol-para-ajudar-venezuelanos-em-crise-1.92254", "URL")</f>
        <v/>
      </c>
      <c r="K2484">
        <f>HYPERLINK("https://raw.githubusercontent.com/marcosmapl/dataset_imigrantes/main/noticias_filtered/a_critica/venezuelanos/2017/03_abr/html/1.92254_719.html", "HTML")</f>
        <v/>
      </c>
      <c r="L2484">
        <f>HYPERLINK("https://raw.githubusercontent.com/marcosmapl/dataset_imigrantes/main/noticias_filtered/a_critica/venezuelanos/2017/03_abr/txt/1.92254_719.txt", "TXT")</f>
        <v/>
      </c>
    </row>
    <row r="2485">
      <c r="A2485" s="1" t="n">
        <v>2483</v>
      </c>
      <c r="B2485" t="n">
        <v>2017</v>
      </c>
      <c r="C2485" s="2" t="n">
        <v>42826.64121527778</v>
      </c>
      <c r="D2485" t="inlineStr">
        <is>
          <t>A CRITICA</t>
        </is>
      </c>
      <c r="E2485" t="inlineStr">
        <is>
          <t>VENEZUELANOS</t>
        </is>
      </c>
      <c r="F2485" t="inlineStr"/>
      <c r="G2485" t="inlineStr">
        <is>
          <t>AGÊNCIA BRASIL</t>
        </is>
      </c>
      <c r="H2485" t="inlineStr">
        <is>
          <t>TRIBUNAL DA VENEZUELA REVOGA DECISÃO DE ASSUMIR AS FUNÇÕES DO PARLAMENTO</t>
        </is>
      </c>
      <c r="I2485" t="inlineStr">
        <is>
          <t>DECISÃO OCORREU APÓS O PRESIDENTE DO CONSELHO DE DEFESA, NICOLÁS MADURO, PEDIR AO TRIBUNAL PARA REVER A MEDIDA. A DIREÇÃO DA ASSEMBLEIA NACIONAL DA VENEZUELA QUALIFICOU DE GOLPE DE ESTADO A DECISÃO DO TRIBUNAL</t>
        </is>
      </c>
      <c r="J2485">
        <f>HYPERLINK("https://www.acritica.com/tribunal-da-venezuela-revoga-decis-o-de-assumir-as-func-es-do-parlamento-1.92377", "URL")</f>
        <v/>
      </c>
      <c r="K2485">
        <f>HYPERLINK("https://raw.githubusercontent.com/marcosmapl/dataset_imigrantes/main/noticias_filtered/a_critica/venezuelanos/2017/03_abr/html/1.92377_1308.html", "HTML")</f>
        <v/>
      </c>
      <c r="L2485">
        <f>HYPERLINK("https://raw.githubusercontent.com/marcosmapl/dataset_imigrantes/main/noticias_filtered/a_critica/venezuelanos/2017/03_abr/txt/1.92377_1308.txt", "TXT")</f>
        <v/>
      </c>
    </row>
    <row r="2486">
      <c r="A2486" s="1" t="n">
        <v>2484</v>
      </c>
      <c r="B2486" t="n">
        <v>2017</v>
      </c>
      <c r="C2486" s="2" t="n">
        <v>42822.59791666667</v>
      </c>
      <c r="D2486" t="inlineStr">
        <is>
          <t>PORTAL AMAZONIA</t>
        </is>
      </c>
      <c r="E2486" t="inlineStr">
        <is>
          <t>VENEZUELANOS</t>
        </is>
      </c>
      <c r="F2486" t="inlineStr">
        <is>
          <t>CIDADES</t>
        </is>
      </c>
      <c r="G2486" t="inlineStr">
        <is>
          <t>REDAÇÃO</t>
        </is>
      </c>
      <c r="H2486" t="inlineStr">
        <is>
          <t>TRANSPORTE GRATUITO A PESSOAS COM DEFICIÊNCIA NO MARANHÃO É GARANTIDO POR MEIO DE ACORDO</t>
        </is>
      </c>
      <c r="I2486" t="inlineStr">
        <is>
          <t>UM ACORDO ENTRE O MINISTÉRIO PÚBLICO DO MARANHÃO (MP-MA) COM O GOVERNO DO ESTADO DO MARANHÃO E A AGÊNCIA ESTADUAL DE TRANSPORTE E MOBILIDADE URBANA (MOB) VAI GARANTIR O ACESSO LIVRE A PESSOAS COM DEFICIÊNCIA EM TRANSPORTE AQUAVIÁRIO, RODOVIÁRIO E FER</t>
        </is>
      </c>
      <c r="J2486">
        <f>HYPERLINK("https://portalamazonia.com/noticias/cidades/transporte-gratuito-a-pessoas-com-deficiencia-no-maranhao-e-garantido-por-meio-de-acordo", "URL")</f>
        <v/>
      </c>
      <c r="K2486">
        <f>HYPERLINK("https://raw.githubusercontent.com/marcosmapl/dataset_imigrantes/main/noticias_filtered/portal_amazonia/venezuelanos/2017/02_mar/html/21266.21266_1471.html", "HTML")</f>
        <v/>
      </c>
      <c r="L2486">
        <f>HYPERLINK("https://raw.githubusercontent.com/marcosmapl/dataset_imigrantes/main/noticias_filtered/portal_amazonia/venezuelanos/2017/02_mar/txt/21266.21266_1471.txt", "TXT")</f>
        <v/>
      </c>
    </row>
    <row r="2487">
      <c r="A2487" s="1" t="n">
        <v>2485</v>
      </c>
      <c r="B2487" t="n">
        <v>2017</v>
      </c>
      <c r="C2487" s="2" t="n">
        <v>42822.53819444445</v>
      </c>
      <c r="D2487" t="inlineStr">
        <is>
          <t>PORTAL AMAZONIA</t>
        </is>
      </c>
      <c r="E2487" t="inlineStr">
        <is>
          <t>VENEZUELANOS</t>
        </is>
      </c>
      <c r="F2487" t="inlineStr">
        <is>
          <t>CIDADES</t>
        </is>
      </c>
      <c r="G2487" t="inlineStr">
        <is>
          <t>REDAÇÃO</t>
        </is>
      </c>
      <c r="H2487" t="inlineStr">
        <is>
          <t>CADASTRAMENTO BIOMÉTRICO TEM INÍCIO EM 45 MUNICÍPIOS DO AMAZONAS</t>
        </is>
      </c>
      <c r="I2487" t="inlineStr">
        <is>
          <t>FOTO: DIVULGAÇÃO/TRE-AMO CADASTRAMENTO BIOMÉTRICO DE ELEITORES FOI INICIADO PELO TRIBUNAL REGIONAL ELEITORAL DO AMAZONAS (TRE-AM) EM 45 MUNICÍPIOS. ATÉ ABRIL, OUTRAS SETE CIDADES TERÃO ATENDIMENTO DE COLETA DE BIOMETRIA INICIADO. O COMPARECIMENT</t>
        </is>
      </c>
      <c r="J2487">
        <f>HYPERLINK("https://portalamazonia.com/noticias/cidades/cadastramento-biometrico-tem-inicio-em-45-municipios-do-amazonas", "URL")</f>
        <v/>
      </c>
      <c r="K2487">
        <f>HYPERLINK("https://raw.githubusercontent.com/marcosmapl/dataset_imigrantes/main/noticias_filtered/portal_amazonia/venezuelanos/2017/02_mar/html/21253.21253_1487.html", "HTML")</f>
        <v/>
      </c>
      <c r="L2487">
        <f>HYPERLINK("https://raw.githubusercontent.com/marcosmapl/dataset_imigrantes/main/noticias_filtered/portal_amazonia/venezuelanos/2017/02_mar/txt/21253.21253_1487.txt", "TXT")</f>
        <v/>
      </c>
    </row>
    <row r="2488">
      <c r="A2488" s="1" t="n">
        <v>2486</v>
      </c>
      <c r="B2488" t="n">
        <v>2017</v>
      </c>
      <c r="C2488" s="2" t="n">
        <v>42822.47777777778</v>
      </c>
      <c r="D2488" t="inlineStr">
        <is>
          <t>PORTAL AMAZONIA</t>
        </is>
      </c>
      <c r="E2488" t="inlineStr">
        <is>
          <t>VENEZUELANOS</t>
        </is>
      </c>
      <c r="F2488" t="inlineStr">
        <is>
          <t>CIDADES</t>
        </is>
      </c>
      <c r="G2488" t="inlineStr">
        <is>
          <t>REDAÇÃO</t>
        </is>
      </c>
      <c r="H2488" t="inlineStr">
        <is>
          <t>FUNAI EXTINGUE 347 CARGOS COMISSIONADOS APÓS MUDANÇA EM ESTATUTO</t>
        </is>
      </c>
      <c r="I2488" t="inlineStr">
        <is>
          <t>DECRETO ASSINADO PELO PRESIDENTE MICHEL TEMER E PELOS MINISTROS DA JUSTIÇA, OSMAR SERRAGLIO, E DO PLANEJAMENTO, DYOGO OLIVEIRA, PUBLICADO NA SEXTA-FEIRA (24) NO DIÁRIO OFICIAL DA UNIÃO, ALTERA O ESTATUTO DA FUNDAÇÃO NACIONAL DO ÍNDIO (FUNAI). AS MUDA</t>
        </is>
      </c>
      <c r="J2488">
        <f>HYPERLINK("https://portalamazonia.com/noticias/cidades/funai-extingue-347-cargos-comissionados-apos-mudanca-em-estatuto", "URL")</f>
        <v/>
      </c>
      <c r="K2488">
        <f>HYPERLINK("https://raw.githubusercontent.com/marcosmapl/dataset_imigrantes/main/noticias_filtered/portal_amazonia/venezuelanos/2017/02_mar/html/21248.21248_1477.html", "HTML")</f>
        <v/>
      </c>
      <c r="L2488">
        <f>HYPERLINK("https://raw.githubusercontent.com/marcosmapl/dataset_imigrantes/main/noticias_filtered/portal_amazonia/venezuelanos/2017/02_mar/txt/21248.21248_1477.txt", "TXT")</f>
        <v/>
      </c>
    </row>
    <row r="2489">
      <c r="A2489" s="1" t="n">
        <v>2487</v>
      </c>
      <c r="B2489" t="n">
        <v>2017</v>
      </c>
      <c r="C2489" s="2" t="n">
        <v>42821.57083333333</v>
      </c>
      <c r="D2489" t="inlineStr">
        <is>
          <t>PORTAL AMAZONIA</t>
        </is>
      </c>
      <c r="E2489" t="inlineStr">
        <is>
          <t>VENEZUELANOS</t>
        </is>
      </c>
      <c r="F2489" t="inlineStr">
        <is>
          <t>CIDADES</t>
        </is>
      </c>
      <c r="G2489" t="inlineStr">
        <is>
          <t>REDAÇÃO</t>
        </is>
      </c>
      <c r="H2489" t="inlineStr">
        <is>
          <t>INDÍGENAS VENEZUELANOS EM MANAUS VOLTARÃO A SEU PAÍS DE ORIGEM EM ABRIL</t>
        </is>
      </c>
      <c r="I2489" t="inlineStr">
        <is>
          <t>FOTO: REPRODUÇÃO/AGÊNCIA BRASILESTÁ MARCADO PARA ESTE DOMINGO (2) O RETORNO DE 88 INDÍGENAS DA ETNIA WARAO PARA A VENEZUELA. NO INÍCIO DE FEVEREIRO, 117 IMIGRANTES, ENTRE INDÍGENAS E NÃO INDÍGENAS, CHEGARAM A MANAUS FUGINDO DA CRISE POLÍTICA E E</t>
        </is>
      </c>
      <c r="J2489">
        <f>HYPERLINK("https://portalamazonia.com/noticias/cidades/indigenas-venezuelanos-em-manaus-voltarao-a-seu-pais-de-origem-em-abril", "URL")</f>
        <v/>
      </c>
      <c r="K2489">
        <f>HYPERLINK("https://raw.githubusercontent.com/marcosmapl/dataset_imigrantes/main/noticias_filtered/portal_amazonia/venezuelanos/2017/02_mar/html/21227.21227_1504.html", "HTML")</f>
        <v/>
      </c>
      <c r="L2489">
        <f>HYPERLINK("https://raw.githubusercontent.com/marcosmapl/dataset_imigrantes/main/noticias_filtered/portal_amazonia/venezuelanos/2017/02_mar/txt/21227.21227_1504.txt", "TXT")</f>
        <v/>
      </c>
    </row>
    <row r="2490">
      <c r="A2490" s="1" t="n">
        <v>2488</v>
      </c>
      <c r="B2490" t="n">
        <v>2017</v>
      </c>
      <c r="C2490" s="2" t="n">
        <v>42821.53055555555</v>
      </c>
      <c r="D2490" t="inlineStr">
        <is>
          <t>PORTAL AMAZONIA</t>
        </is>
      </c>
      <c r="E2490" t="inlineStr">
        <is>
          <t>VENEZUELANOS</t>
        </is>
      </c>
      <c r="F2490" t="inlineStr">
        <is>
          <t>NOTÍCIAS</t>
        </is>
      </c>
      <c r="G2490" t="inlineStr">
        <is>
          <t>REDAÇÃO</t>
        </is>
      </c>
      <c r="H2490" t="inlineStr">
        <is>
          <t>DOIS ÔNIBUS IRÃO TRANSPORTAR VENEZUELANOS DE MANAUS PARA PAÍS DE ORIGEM</t>
        </is>
      </c>
      <c r="I2490" t="inlineStr">
        <is>
          <t>MANAUS - O GOVERNO DO AMAZONAS E A PREFEITURA DE MANAUS VÃO DISPONIBILIZAR DOIS ÔNIBUS PARA CERCA DE 70 VENEZUELANOS VOLTAREM AO PAÍS DE ORIGEM. NA PRÓXIMA SEGUNDA-FEIRA (2), OS VENEZUELANOS SERÃO LEVADOS ATÉ O MUNICÍPIO DE PACARAIMA, EM RORAIMA, QUE</t>
        </is>
      </c>
      <c r="J2490">
        <f>HYPERLINK("https://portalamazonia.com/noticias/dois-onibus-irao-transportar-venezuelanos-de-manaus-para-pais-de-origem", "URL")</f>
        <v/>
      </c>
      <c r="K2490">
        <f>HYPERLINK("https://raw.githubusercontent.com/marcosmapl/dataset_imigrantes/main/noticias_filtered/portal_amazonia/venezuelanos/2017/02_mar/html/21214.27785_1518.html", "HTML")</f>
        <v/>
      </c>
      <c r="L2490">
        <f>HYPERLINK("https://raw.githubusercontent.com/marcosmapl/dataset_imigrantes/main/noticias_filtered/portal_amazonia/venezuelanos/2017/02_mar/txt/21214.27785_1518.txt", "TXT")</f>
        <v/>
      </c>
    </row>
    <row r="2491">
      <c r="A2491" s="1" t="n">
        <v>2489</v>
      </c>
      <c r="B2491" t="n">
        <v>2017</v>
      </c>
      <c r="C2491" s="2" t="n">
        <v>42820.82356481482</v>
      </c>
      <c r="D2491" t="inlineStr">
        <is>
          <t>A CRITICA</t>
        </is>
      </c>
      <c r="E2491" t="inlineStr">
        <is>
          <t>VENEZUELANOS</t>
        </is>
      </c>
      <c r="F2491" t="inlineStr">
        <is>
          <t>MANAUS</t>
        </is>
      </c>
      <c r="G2491" t="inlineStr">
        <is>
          <t>BIANCA PAIVA –  AGÊNCIA BRASIL</t>
        </is>
      </c>
      <c r="H2491" t="inlineStr">
        <is>
          <t>INDÍGENAS VENEZUELANOS EM MANAUS VOLTARÃO A SEU PAÍS DE ORIGEM EM ABRIL</t>
        </is>
      </c>
      <c r="I2491" t="inlineStr">
        <is>
          <t>NO INÍCIO DE FEVEREIRO, 117 IMIGRANTES, ENTRE INDÍGENAS E NÃO INDÍGENAS, CHEGARAM A MANAUS FUGINDO DA CRISE POLÍTICA E ECONÔMICA NA NAÇÃO VIZINHA</t>
        </is>
      </c>
      <c r="J2491">
        <f>HYPERLINK("https://www.acritica.com/manaus/indigenas-venezuelanos-em-manaus-voltar-o-a-seu-pais-de-origem-em-abril-1.204493", "URL")</f>
        <v/>
      </c>
      <c r="K2491">
        <f>HYPERLINK("https://raw.githubusercontent.com/marcosmapl/dataset_imigrantes/main/noticias_filtered/a_critica/venezuelanos/2017/02_mar/html/1.204493_725.html", "HTML")</f>
        <v/>
      </c>
      <c r="L2491">
        <f>HYPERLINK("https://raw.githubusercontent.com/marcosmapl/dataset_imigrantes/main/noticias_filtered/a_critica/venezuelanos/2017/02_mar/txt/1.204493_725.txt", "TXT")</f>
        <v/>
      </c>
    </row>
    <row r="2492">
      <c r="A2492" s="1" t="n">
        <v>2490</v>
      </c>
      <c r="B2492" t="n">
        <v>2017</v>
      </c>
      <c r="C2492" s="2" t="n">
        <v>42810.60069444445</v>
      </c>
      <c r="D2492" t="inlineStr">
        <is>
          <t>A CRITICA</t>
        </is>
      </c>
      <c r="E2492" t="inlineStr">
        <is>
          <t>VENEZUELANOS</t>
        </is>
      </c>
      <c r="F2492" t="inlineStr"/>
      <c r="G2492" t="inlineStr">
        <is>
          <t>ACRÍTICA.COM</t>
        </is>
      </c>
      <c r="H2492" t="inlineStr">
        <is>
          <t>MPF INSTAURA INQUÉRITO PARA ACOMPANHAR MEDIDAS DE APOIO A ÍNDIOS VENEZUELANOS</t>
        </is>
      </c>
      <c r="I2492" t="inlineStr">
        <is>
          <t>INDÍGENAS DA ETNIA WARAO ESTÃO ACAMPADOS NA RODOVIÁRIA DA CAPITAL AMAZONENSE HÁ SEMANAS, FUGINDO DA CRISE ECONÔMICA DO PAÍS DE ORIGEM</t>
        </is>
      </c>
      <c r="J2492">
        <f>HYPERLINK("https://www.acritica.com/mpf-instaura-inquerito-para-acompanhar-medidas-de-apoio-a-indios-venezuelanos-1.183711", "URL")</f>
        <v/>
      </c>
      <c r="K2492">
        <f>HYPERLINK("https://raw.githubusercontent.com/marcosmapl/dataset_imigrantes/main/noticias_filtered/a_critica/venezuelanos/2017/02_mar/html/1.183711_805.html", "HTML")</f>
        <v/>
      </c>
      <c r="L2492">
        <f>HYPERLINK("https://raw.githubusercontent.com/marcosmapl/dataset_imigrantes/main/noticias_filtered/a_critica/venezuelanos/2017/02_mar/txt/1.183711_805.txt", "TXT")</f>
        <v/>
      </c>
    </row>
    <row r="2493">
      <c r="A2493" s="1" t="n">
        <v>2491</v>
      </c>
      <c r="B2493" t="n">
        <v>2017</v>
      </c>
      <c r="C2493" s="2" t="n">
        <v>42808.23263888889</v>
      </c>
      <c r="D2493" t="inlineStr">
        <is>
          <t>G1</t>
        </is>
      </c>
      <c r="E2493" t="inlineStr">
        <is>
          <t>VENEZUELANOS</t>
        </is>
      </c>
      <c r="F2493" t="inlineStr"/>
      <c r="G2493" t="inlineStr">
        <is>
          <t>ANA NASCIMENTORIO DE JANEIRO, RJ</t>
        </is>
      </c>
      <c r="H2493" t="inlineStr">
        <is>
          <t>POLÍCIA APREENDE R$ 12 MILHÕES EM MOEDA VENEZUELANA EM FAVELA NO RJ</t>
        </is>
      </c>
      <c r="I2493" t="inlineStr"/>
      <c r="J2493">
        <f>HYPERLINK("http://g1.globo.com/hora1/noticia/2017/03/policia-apreende-r-12-milhoes-em-moeda-venezuelana-em-favela-no-rj.html", "URL")</f>
        <v/>
      </c>
      <c r="K2493">
        <f>HYPERLINK("https://raw.githubusercontent.com/marcosmapl/dataset_imigrantes/main/noticias_filtered/g1/venezuelanos/2017/02_mar/html/g1_8b281554-2321-11ed-b24f-6dbe51e79fca_3707.html", "HTML")</f>
        <v/>
      </c>
      <c r="L2493">
        <f>HYPERLINK("https://raw.githubusercontent.com/marcosmapl/dataset_imigrantes/main/noticias_filtered/g1/venezuelanos/2017/02_mar/txt/g1_8b281554-2321-11ed-b24f-6dbe51e79fca_3707.txt", "TXT")</f>
        <v/>
      </c>
    </row>
    <row r="2494">
      <c r="A2494" s="1" t="n">
        <v>2492</v>
      </c>
      <c r="B2494" t="n">
        <v>2017</v>
      </c>
      <c r="C2494" s="2" t="n">
        <v>42807.63923611111</v>
      </c>
      <c r="D2494" t="inlineStr">
        <is>
          <t>A CRITICA</t>
        </is>
      </c>
      <c r="E2494" t="inlineStr">
        <is>
          <t>VENEZUELANOS</t>
        </is>
      </c>
      <c r="F2494" t="inlineStr">
        <is>
          <t>MANAUS</t>
        </is>
      </c>
      <c r="G2494" t="inlineStr">
        <is>
          <t>PAULO ANDRÉ NUNES</t>
        </is>
      </c>
      <c r="H2494" t="inlineStr">
        <is>
          <t>ÓRGÃOS PEDEM APOIO DA PF E MP PARA AJUDAR FAMÍLIAS VENEZUELANAS EM MANAUS</t>
        </is>
      </c>
      <c r="I2494" t="inlineStr">
        <is>
          <t>EM TODA A CIDADE, DE ACORDO COM DADOS DA SECRETARIA MUNICIPAL DE ASSISTÊNCIA SOCIAL (SEMASDH) EXISTEM CERCA DE 120 FAMÍLIAS VENEZUELAS, A MAIORIA EM SITUAÇÃO DE MENDICÂNCIA</t>
        </is>
      </c>
      <c r="J2494">
        <f>HYPERLINK("https://www.acritica.com/manaus/org-os-pedem-apoio-da-pf-e-mp-para-ajudar-familias-venezuelanas-em-manaus-1.182980", "URL")</f>
        <v/>
      </c>
      <c r="K2494">
        <f>HYPERLINK("https://raw.githubusercontent.com/marcosmapl/dataset_imigrantes/main/noticias_filtered/a_critica/venezuelanos/2017/02_mar/html/1.182980_1226.html", "HTML")</f>
        <v/>
      </c>
      <c r="L2494">
        <f>HYPERLINK("https://raw.githubusercontent.com/marcosmapl/dataset_imigrantes/main/noticias_filtered/a_critica/venezuelanos/2017/02_mar/txt/1.182980_1226.txt", "TXT")</f>
        <v/>
      </c>
    </row>
    <row r="2495">
      <c r="A2495" s="1" t="n">
        <v>2493</v>
      </c>
      <c r="B2495" t="n">
        <v>2017</v>
      </c>
      <c r="C2495" s="2" t="n">
        <v>42807.53108796296</v>
      </c>
      <c r="D2495" t="inlineStr">
        <is>
          <t>A CRITICA</t>
        </is>
      </c>
      <c r="E2495" t="inlineStr">
        <is>
          <t>VENEZUELANOS</t>
        </is>
      </c>
      <c r="F2495" t="inlineStr">
        <is>
          <t>MANAUS</t>
        </is>
      </c>
      <c r="G2495" t="inlineStr">
        <is>
          <t>ISABELLE VALOIS</t>
        </is>
      </c>
      <c r="H2495" t="inlineStr">
        <is>
          <t>AÇÃO INICIADA POR CONSELHEIROS TUTELARES BUSCA ALTERNATIVA PARA RETIRAR CRIANÇAS DA RODOVIÁRIA</t>
        </is>
      </c>
      <c r="I2495" t="inlineStr">
        <is>
          <t>A PROMOTORA INFORMOU AO CONSELHEIRO TUTELAR DA ZONA CENTRO-SUL, MARCELO MEDEIROS, RESPONSÁVEL PELA AÇÃO, QUE IRÁ CONVOCAR AS SECRETARIAS MUNICIPAIS E ESTADUAIS QUE ATUEM NA ÁREA PARA UMA REUNIÃO NESTA SEMANA, PARA BUSCAR SOLUÇÕES</t>
        </is>
      </c>
      <c r="J2495">
        <f>HYPERLINK("https://www.acritica.com/manaus/ac-o-iniciada-por-conselheiros-tutelares-busca-alternativa-para-retirar-criancas-da-rodoviaria-1.183046", "URL")</f>
        <v/>
      </c>
      <c r="K2495">
        <f>HYPERLINK("https://raw.githubusercontent.com/marcosmapl/dataset_imigrantes/main/noticias_filtered/a_critica/venezuelanos/2017/02_mar/html/1.183046_1377.html", "HTML")</f>
        <v/>
      </c>
      <c r="L2495">
        <f>HYPERLINK("https://raw.githubusercontent.com/marcosmapl/dataset_imigrantes/main/noticias_filtered/a_critica/venezuelanos/2017/02_mar/txt/1.183046_1377.txt", "TXT")</f>
        <v/>
      </c>
    </row>
    <row r="2496">
      <c r="A2496" s="1" t="n">
        <v>2494</v>
      </c>
      <c r="B2496" t="n">
        <v>2017</v>
      </c>
      <c r="C2496" s="2" t="n">
        <v>42805.92777777778</v>
      </c>
      <c r="D2496" t="inlineStr">
        <is>
          <t>A CRITICA</t>
        </is>
      </c>
      <c r="E2496" t="inlineStr">
        <is>
          <t>VENEZUELANOS</t>
        </is>
      </c>
      <c r="F2496" t="inlineStr">
        <is>
          <t>MANAUS</t>
        </is>
      </c>
      <c r="G2496" t="inlineStr">
        <is>
          <t>ISABELLE VALOIS</t>
        </is>
      </c>
      <c r="H2496" t="inlineStr">
        <is>
          <t>CONSELHEIROS TUTELARES TENTAM RECOLHER CRIANÇAS INDÍGENAS DA RODOVIÁRIA</t>
        </is>
      </c>
      <c r="I2496" t="inlineStr">
        <is>
          <t>DURANTE A VISTORIA, UMA EQUIPE DA SECRETARIA MUNICIPAL DA MULHER, ASSISTÊNCIA SOCIAL E DIREITOS HUMANOS (SEMMASDH), SE FEZ PRESENTE E FOI TOTALMENTE CONTRA A AÇÃO DOS CONSELHEIROS</t>
        </is>
      </c>
      <c r="J2496">
        <f>HYPERLINK("https://www.acritica.com/manaus/conselheiros-tutelares-tentam-recolher-criancas-indigenas-da-rodoviaria-1.182850", "URL")</f>
        <v/>
      </c>
      <c r="K2496">
        <f>HYPERLINK("https://raw.githubusercontent.com/marcosmapl/dataset_imigrantes/main/noticias_filtered/a_critica/venezuelanos/2017/02_mar/html/1.182850_664.html", "HTML")</f>
        <v/>
      </c>
      <c r="L2496">
        <f>HYPERLINK("https://raw.githubusercontent.com/marcosmapl/dataset_imigrantes/main/noticias_filtered/a_critica/venezuelanos/2017/02_mar/txt/1.182850_664.txt", "TXT")</f>
        <v/>
      </c>
    </row>
    <row r="2497">
      <c r="A2497" s="1" t="n">
        <v>2495</v>
      </c>
      <c r="B2497" t="n">
        <v>2017</v>
      </c>
      <c r="C2497" s="2" t="n">
        <v>42804.73125</v>
      </c>
      <c r="D2497" t="inlineStr">
        <is>
          <t>A CRITICA</t>
        </is>
      </c>
      <c r="E2497" t="inlineStr">
        <is>
          <t>VENEZUELANOS</t>
        </is>
      </c>
      <c r="F2497" t="inlineStr">
        <is>
          <t>MANAUS</t>
        </is>
      </c>
      <c r="G2497" t="inlineStr">
        <is>
          <t>ACRÍTICA.COM</t>
        </is>
      </c>
      <c r="H2497" t="inlineStr">
        <is>
          <t>MOVIMENTO ‘ATOS DE MISERICÓRDIA’ REALIZA AÇÃO EM PROL DOS INDÍGENAS E VENEZUELANOS</t>
        </is>
      </c>
      <c r="I2497" t="inlineStr">
        <is>
          <t>O GRUPO “POR AMOR” VAI OFERECER REFEIÇÕES NOTURNAS, DOAÇÕES DE ROUPAS E PRODUTOS DE HIGIENE PESSOAL NA NOITE DE HOJE (10) NA RODOVIÁRIA DE MANAUS</t>
        </is>
      </c>
      <c r="J2497">
        <f>HYPERLINK("https://www.acritica.com/manaus/movimento-atos-de-misericordia-realiza-ac-o-em-prol-dos-indigenas-e-venezuelanos-1.182574", "URL")</f>
        <v/>
      </c>
      <c r="K2497">
        <f>HYPERLINK("https://raw.githubusercontent.com/marcosmapl/dataset_imigrantes/main/noticias_filtered/a_critica/venezuelanos/2017/02_mar/html/1.182574_937.html", "HTML")</f>
        <v/>
      </c>
      <c r="L2497">
        <f>HYPERLINK("https://raw.githubusercontent.com/marcosmapl/dataset_imigrantes/main/noticias_filtered/a_critica/venezuelanos/2017/02_mar/txt/1.182574_937.txt", "TXT")</f>
        <v/>
      </c>
    </row>
    <row r="2498">
      <c r="A2498" s="1" t="n">
        <v>2496</v>
      </c>
      <c r="B2498" t="n">
        <v>2017</v>
      </c>
      <c r="C2498" s="2" t="n">
        <v>42800.84513888889</v>
      </c>
      <c r="D2498" t="inlineStr">
        <is>
          <t>PORTAL AMAZONIA</t>
        </is>
      </c>
      <c r="E2498" t="inlineStr">
        <is>
          <t>HAITIANOS</t>
        </is>
      </c>
      <c r="F2498" t="inlineStr">
        <is>
          <t>CIDADES</t>
        </is>
      </c>
      <c r="G2498" t="inlineStr">
        <is>
          <t>REDAÇÃO</t>
        </is>
      </c>
      <c r="H2498" t="inlineStr">
        <is>
          <t>INTERDIÇÃO DO AERÓDROMO DE HUMAITÁ, NO AMAZONAS, É DEBATIDA EM AUDIÊNCIA PÚBLICA</t>
        </is>
      </c>
      <c r="I2498" t="inlineStr">
        <is>
          <t>AERÓDROMO DO MUNICÍPIO AMAZONENSE ESTÁ INTERDITADO DESDE DEZEMBRO DE 2016. FOTO: REPRODUÇÃO/PREFEITURA DE HUMAITÁA INTERDIÇÃO DO AERÓDROMO DO MUNICÍPIO DE HUMAITÁ, NO SUL DO AMAZONAS, SERÁ TEMA DE AUDIÊNCIA PÚBLICA NO PRÓXIMO DIA 24 DE MARÇO, NA CÂMA</t>
        </is>
      </c>
      <c r="J2498">
        <f>HYPERLINK("https://portalamazonia.com/noticias/cidades/interdicao-do-aerodromo-de-humaita-no-amazonas-e-debatida-em-audiencia-publica", "URL")</f>
        <v/>
      </c>
      <c r="K2498">
        <f>HYPERLINK("https://raw.githubusercontent.com/marcosmapl/dataset_imigrantes/main/noticias_filtered/portal_amazonia/haitianos/2017/02_mar/html/20554.20554_1615.html", "HTML")</f>
        <v/>
      </c>
      <c r="L2498">
        <f>HYPERLINK("https://raw.githubusercontent.com/marcosmapl/dataset_imigrantes/main/noticias_filtered/portal_amazonia/haitianos/2017/02_mar/txt/20554.20554_1615.txt", "TXT")</f>
        <v/>
      </c>
    </row>
    <row r="2499">
      <c r="A2499" s="1" t="n">
        <v>2497</v>
      </c>
      <c r="B2499" t="n">
        <v>2017</v>
      </c>
      <c r="C2499" s="2" t="n">
        <v>42797.8375</v>
      </c>
      <c r="D2499" t="inlineStr">
        <is>
          <t>PORTAL AMAZONIA</t>
        </is>
      </c>
      <c r="E2499" t="inlineStr">
        <is>
          <t>HAITIANOS</t>
        </is>
      </c>
      <c r="F2499" t="inlineStr">
        <is>
          <t>CIDADES</t>
        </is>
      </c>
      <c r="G2499" t="inlineStr">
        <is>
          <t>REDAÇÃO</t>
        </is>
      </c>
      <c r="H2499" t="inlineStr">
        <is>
          <t>HAITIANOS SÃO REALOCADOS POR COMPANHIAS AÉREAS NACIONAIS EM MANAUS E SEGUEM VIAGEM</t>
        </is>
      </c>
      <c r="I2499" t="inlineStr">
        <is>
          <t>O GRUPO DE HAITIANOS QUE TEVE O VOO CANCELADO SEM AVISO PRÉVIO PELA COMPANHIA AÉREA INSEL AIR E FOI ABANDONADO EM MANAUS VAI VIAJAR AINDA NESTA SEXTA-FEIRA (3) PARA SEUS DESTINOS. AS EMPRESAS NACIONAIS GOL, TAM E AZUL REALOCARAM OS TUR</t>
        </is>
      </c>
      <c r="J2499">
        <f>HYPERLINK("https://portalamazonia.com/noticias/cidades/haitianos-sao-realocados-por-companhias-aereas-nacionais-em-manaus-e-seguem-viagem", "URL")</f>
        <v/>
      </c>
      <c r="K2499">
        <f>HYPERLINK("https://raw.githubusercontent.com/marcosmapl/dataset_imigrantes/main/noticias_filtered/portal_amazonia/haitianos/2017/02_mar/html/20478.20478_1591.html", "HTML")</f>
        <v/>
      </c>
      <c r="L2499">
        <f>HYPERLINK("https://raw.githubusercontent.com/marcosmapl/dataset_imigrantes/main/noticias_filtered/portal_amazonia/haitianos/2017/02_mar/txt/20478.20478_1591.txt", "TXT")</f>
        <v/>
      </c>
    </row>
    <row r="2500">
      <c r="A2500" s="1" t="n">
        <v>2498</v>
      </c>
      <c r="B2500" t="n">
        <v>2017</v>
      </c>
      <c r="C2500" s="2" t="n">
        <v>42797.7375</v>
      </c>
      <c r="D2500" t="inlineStr">
        <is>
          <t>G1</t>
        </is>
      </c>
      <c r="E2500" t="inlineStr">
        <is>
          <t>HAITIANOS</t>
        </is>
      </c>
      <c r="F2500" t="inlineStr"/>
      <c r="G2500" t="inlineStr">
        <is>
          <t>1 AM</t>
        </is>
      </c>
      <c r="H2500" t="inlineStr">
        <is>
          <t>HAITIANOS DEIXADOS NO AM SEGUIRÃO VIAGEM EM OUTRAS COMPANHIAS AÉREAS</t>
        </is>
      </c>
      <c r="I2500" t="inlineStr"/>
      <c r="J2500">
        <f>HYPERLINK("http://g1.globo.com/am/amazonas/noticia/2017/03/haitianos-deixados-no-am-seguirao-viagem-em-outras-companhias-aereas.html", "URL")</f>
        <v/>
      </c>
      <c r="K2500">
        <f>HYPERLINK("https://raw.githubusercontent.com/marcosmapl/dataset_imigrantes/main/noticias_filtered/g1/haitianos/2017/02_mar/html/g1_01096408-22f5-11ed-b24f-6dbe51e79fca_1926.html", "HTML")</f>
        <v/>
      </c>
      <c r="L2500">
        <f>HYPERLINK("https://raw.githubusercontent.com/marcosmapl/dataset_imigrantes/main/noticias_filtered/g1/haitianos/2017/02_mar/txt/g1_01096408-22f5-11ed-b24f-6dbe51e79fca_1926.txt", "TXT")</f>
        <v/>
      </c>
    </row>
    <row r="2501">
      <c r="A2501" s="1" t="n">
        <v>2499</v>
      </c>
      <c r="B2501" t="n">
        <v>2017</v>
      </c>
      <c r="C2501" s="2" t="n">
        <v>42797.73333333333</v>
      </c>
      <c r="D2501" t="inlineStr">
        <is>
          <t>G1</t>
        </is>
      </c>
      <c r="E2501" t="inlineStr">
        <is>
          <t>HAITIANOS</t>
        </is>
      </c>
      <c r="F2501" t="inlineStr"/>
      <c r="G2501" t="inlineStr">
        <is>
          <t>1 RS</t>
        </is>
      </c>
      <c r="H2501" t="inlineStr">
        <is>
          <t>APÓS PERDER GUARDA DE FILHA, HAITIANA TENTA REVERTER DECISÃO NA JUSTIÇA</t>
        </is>
      </c>
      <c r="I2501" t="inlineStr"/>
      <c r="J2501">
        <f>HYPERLINK("http://g1.globo.com/rs/rio-grande-do-sul/noticia/2017/03/apos-perder-guarda-de-filha-haitiana-tenta-reverter-decisao-na-justica.html", "URL")</f>
        <v/>
      </c>
      <c r="K2501">
        <f>HYPERLINK("https://raw.githubusercontent.com/marcosmapl/dataset_imigrantes/main/noticias_filtered/g1/haitianos/2017/02_mar/html/g1_465f7294-2314-11ed-b24f-6dbe51e79fca_3056.html", "HTML")</f>
        <v/>
      </c>
      <c r="L2501">
        <f>HYPERLINK("https://raw.githubusercontent.com/marcosmapl/dataset_imigrantes/main/noticias_filtered/g1/haitianos/2017/02_mar/txt/g1_465f7294-2314-11ed-b24f-6dbe51e79fca_3056.txt", "TXT")</f>
        <v/>
      </c>
    </row>
    <row r="2502">
      <c r="A2502" s="1" t="n">
        <v>2500</v>
      </c>
      <c r="B2502" t="n">
        <v>2017</v>
      </c>
      <c r="C2502" s="2" t="n">
        <v>42797.65694444445</v>
      </c>
      <c r="D2502" t="inlineStr">
        <is>
          <t>A CRITICA</t>
        </is>
      </c>
      <c r="E2502" t="inlineStr">
        <is>
          <t>HAITIANOS</t>
        </is>
      </c>
      <c r="F2502" t="inlineStr">
        <is>
          <t>MANAUS</t>
        </is>
      </c>
      <c r="G2502" t="inlineStr">
        <is>
          <t>OSWALDO NETO</t>
        </is>
      </c>
      <c r="H2502" t="inlineStr">
        <is>
          <t>PROCON-AM VAI MULTAR INSEL AIR EM ATÉ R$ 3 MILHÕES APÓS NEGLIGÊNCIA COM HAITIANOS</t>
        </is>
      </c>
      <c r="I2502" t="inlineStr">
        <is>
          <t>SEGUNDO A DIRETORA-PRESIDENTE DO PROCON-AM, ROSELY FERNANDES, MULTA PODE CHEGAR A R$ 3 MILHÕES. TODOS OS HAITIANOS SEGUIRÃO PARA SEUS DESTINOS FINAIS AINDA NESTA SEXTA-FEIRA (3)</t>
        </is>
      </c>
      <c r="J2502">
        <f>HYPERLINK("https://www.acritica.com/manaus/procon-am-vai-multar-insel-air-em-ate-r-3-milh-es-apos-negligencia-com-haitianos-1.181593", "URL")</f>
        <v/>
      </c>
      <c r="K2502">
        <f>HYPERLINK("https://raw.githubusercontent.com/marcosmapl/dataset_imigrantes/main/noticias_filtered/a_critica/haitianos/2017/02_mar/html/1.181593_1228.html", "HTML")</f>
        <v/>
      </c>
      <c r="L2502">
        <f>HYPERLINK("https://raw.githubusercontent.com/marcosmapl/dataset_imigrantes/main/noticias_filtered/a_critica/haitianos/2017/02_mar/txt/1.181593_1228.txt", "TXT")</f>
        <v/>
      </c>
    </row>
    <row r="2503">
      <c r="A2503" s="1" t="n">
        <v>2501</v>
      </c>
      <c r="B2503" t="n">
        <v>2017</v>
      </c>
      <c r="C2503" s="2" t="n">
        <v>42797.65347222222</v>
      </c>
      <c r="D2503" t="inlineStr">
        <is>
          <t>A CRITICA</t>
        </is>
      </c>
      <c r="E2503" t="inlineStr">
        <is>
          <t>HAITIANOS</t>
        </is>
      </c>
      <c r="F2503" t="inlineStr">
        <is>
          <t>MANAUS</t>
        </is>
      </c>
      <c r="G2503" t="inlineStr">
        <is>
          <t>VINICIUS LEAL E OSWALDO NETO</t>
        </is>
      </c>
      <c r="H2503" t="inlineStr">
        <is>
          <t>HAITIANOS ABANDONADOS EM MANAUS VIAJAM AINDA HOJE EM VOOS DA GOL, TAM E AZUL</t>
        </is>
      </c>
      <c r="I2503" t="inlineStr">
        <is>
          <t>TODOS OS 52 ESTRANGEIROS CONSEGUIRAM SER REALOCADOS APÓS ACORDO COM COMPANHIAS AÉREAS NACIONAIS, INFRAERO E PROCON</t>
        </is>
      </c>
      <c r="J2503">
        <f>HYPERLINK("https://www.acritica.com/manaus/haitianos-abandonados-em-manaus-viajam-ainda-hoje-em-voos-da-gol-tam-e-azul-1.181597", "URL")</f>
        <v/>
      </c>
      <c r="K2503">
        <f>HYPERLINK("https://raw.githubusercontent.com/marcosmapl/dataset_imigrantes/main/noticias_filtered/a_critica/haitianos/2017/02_mar/html/1.181597_814.html", "HTML")</f>
        <v/>
      </c>
      <c r="L2503">
        <f>HYPERLINK("https://raw.githubusercontent.com/marcosmapl/dataset_imigrantes/main/noticias_filtered/a_critica/haitianos/2017/02_mar/txt/1.181597_814.txt", "TXT")</f>
        <v/>
      </c>
    </row>
    <row r="2504">
      <c r="A2504" s="1" t="n">
        <v>2502</v>
      </c>
      <c r="B2504" t="n">
        <v>2017</v>
      </c>
      <c r="C2504" s="2" t="n">
        <v>42797.62969907407</v>
      </c>
      <c r="D2504" t="inlineStr">
        <is>
          <t>A CRITICA</t>
        </is>
      </c>
      <c r="E2504" t="inlineStr">
        <is>
          <t>HAITIANOS</t>
        </is>
      </c>
      <c r="F2504" t="inlineStr">
        <is>
          <t>MANAUS</t>
        </is>
      </c>
      <c r="G2504" t="inlineStr">
        <is>
          <t>OSWALDO NETO</t>
        </is>
      </c>
      <c r="H2504" t="inlineStr">
        <is>
          <t>HAITIANOS ABANDONADOS EM AEROPORTO SERÃO LEVADOS PARA ABRIGOS DO GOVERNO</t>
        </is>
      </c>
      <c r="I2504" t="inlineStr">
        <is>
          <t>GRUPO DE MAIS DE 50 ESTRANGEIROS ESTÁ EM MANAUS HÁ DIAS ESPERANDO RESPOSTA DE COMPANHIA AÉREA. SEGUNDO A SEJUSC, MAIS DE 150 PODEM ESTAR NA MESMA SITUAÇÃO. ANAC OFICIOU COMPANHIA AÉREA A PRESTAR ESCLARECIMENTOS</t>
        </is>
      </c>
      <c r="J2504">
        <f>HYPERLINK("https://www.acritica.com/manaus/haitianos-abandonados-em-aeroporto-ser-o-levados-para-abrigos-do-governo-1.181605", "URL")</f>
        <v/>
      </c>
      <c r="K2504">
        <f>HYPERLINK("https://raw.githubusercontent.com/marcosmapl/dataset_imigrantes/main/noticias_filtered/a_critica/haitianos/2017/02_mar/html/1.181605_649.html", "HTML")</f>
        <v/>
      </c>
      <c r="L2504">
        <f>HYPERLINK("https://raw.githubusercontent.com/marcosmapl/dataset_imigrantes/main/noticias_filtered/a_critica/haitianos/2017/02_mar/txt/1.181605_649.txt", "TXT")</f>
        <v/>
      </c>
    </row>
    <row r="2505">
      <c r="A2505" s="1" t="n">
        <v>2503</v>
      </c>
      <c r="B2505" t="n">
        <v>2017</v>
      </c>
      <c r="C2505" s="2" t="n">
        <v>42797.625</v>
      </c>
      <c r="D2505" t="inlineStr">
        <is>
          <t>G1</t>
        </is>
      </c>
      <c r="E2505" t="inlineStr">
        <is>
          <t>HAITIANOS</t>
        </is>
      </c>
      <c r="F2505" t="inlineStr"/>
      <c r="G2505" t="inlineStr">
        <is>
          <t>RYLODO G1 AM</t>
        </is>
      </c>
      <c r="H2505" t="inlineStr">
        <is>
          <t>HAITIANOS SEGUEM PARA ABRIGOS DO AM APÓS FALHAS EM VOOS DA INSEL AIR</t>
        </is>
      </c>
      <c r="I2505" t="inlineStr"/>
      <c r="J2505">
        <f>HYPERLINK("http://g1.globo.com/am/amazonas/noticia/2017/03/haitianos-seguem-para-abrigos-de-manaus-apos-falha-em-voo-da-insel-air.html", "URL")</f>
        <v/>
      </c>
      <c r="K2505">
        <f>HYPERLINK("https://raw.githubusercontent.com/marcosmapl/dataset_imigrantes/main/noticias_filtered/g1/haitianos/2017/02_mar/html/g1_241e93a2-22f3-11ed-b24f-6dbe51e79fca_1825.html", "HTML")</f>
        <v/>
      </c>
      <c r="L2505">
        <f>HYPERLINK("https://raw.githubusercontent.com/marcosmapl/dataset_imigrantes/main/noticias_filtered/g1/haitianos/2017/02_mar/txt/g1_241e93a2-22f3-11ed-b24f-6dbe51e79fca_1825.txt", "TXT")</f>
        <v/>
      </c>
    </row>
    <row r="2506">
      <c r="A2506" s="1" t="n">
        <v>2504</v>
      </c>
      <c r="B2506" t="n">
        <v>2017</v>
      </c>
      <c r="C2506" s="2" t="n">
        <v>42797.6125</v>
      </c>
      <c r="D2506" t="inlineStr">
        <is>
          <t>PORTAL AMAZONIA</t>
        </is>
      </c>
      <c r="E2506" t="inlineStr">
        <is>
          <t>HAITIANOS</t>
        </is>
      </c>
      <c r="F2506" t="inlineStr">
        <is>
          <t>CIDADES</t>
        </is>
      </c>
      <c r="G2506" t="inlineStr">
        <is>
          <t>REDAÇÃO</t>
        </is>
      </c>
      <c r="H2506" t="inlineStr">
        <is>
          <t>HAITIANOS PROTESTAM CONTRA COMPANHIA AÉREA EM MANAUS</t>
        </is>
      </c>
      <c r="I2506" t="inlineStr">
        <is>
          <t>ASSIM COMO ACONTECEU AOS PASSAGEIROS MANAUARAS EM CURAÇÃO, NO CARIBE, CERCA DE 150 HAITIANOS TIVERAM O VOO CANCELADO SEM AVISO PRÉVIO PELA COMPANHIA AÉREA INSEL AIR. O PROGRAMA DE ORIENTAÇÃO DE PROTEÇÃO DO CONSUMIDOR DO AMAZONAS (PROCON-AM) E A SECRE</t>
        </is>
      </c>
      <c r="J2506">
        <f>HYPERLINK("https://portalamazonia.com/noticias/cidades/haitianos-protestam-contra-companhia-aerea-em-manaus-1", "URL")</f>
        <v/>
      </c>
      <c r="K2506">
        <f>HYPERLINK("https://raw.githubusercontent.com/marcosmapl/dataset_imigrantes/main/noticias_filtered/portal_amazonia/haitianos/2017/02_mar/html/20465.20465_1616.html", "HTML")</f>
        <v/>
      </c>
      <c r="L2506">
        <f>HYPERLINK("https://raw.githubusercontent.com/marcosmapl/dataset_imigrantes/main/noticias_filtered/portal_amazonia/haitianos/2017/02_mar/txt/20465.20465_1616.txt", "TXT")</f>
        <v/>
      </c>
    </row>
    <row r="2507">
      <c r="A2507" s="1" t="n">
        <v>2505</v>
      </c>
      <c r="B2507" t="n">
        <v>2017</v>
      </c>
      <c r="C2507" s="2" t="n">
        <v>42797.53541666667</v>
      </c>
      <c r="D2507" t="inlineStr">
        <is>
          <t>PORTAL AMAZONIA</t>
        </is>
      </c>
      <c r="E2507" t="inlineStr">
        <is>
          <t>HAITIANOS</t>
        </is>
      </c>
      <c r="F2507" t="inlineStr">
        <is>
          <t>NOTÍCIAS</t>
        </is>
      </c>
      <c r="G2507" t="inlineStr">
        <is>
          <t>REDAÇÃO</t>
        </is>
      </c>
      <c r="H2507" t="inlineStr">
        <is>
          <t>HAITIANOS PROTESTAM CONTRA COMPANHIA AÉREA EM MANAUS</t>
        </is>
      </c>
      <c r="I2507" t="inlineStr">
        <is>
          <t>ELES VIAJARIAM PARA CIDADES DO SUL E SUDESTE DO PAÍS, MAS VIAGENS FORAM CANCELADAS PELA COMPANHIA AÉREA INSEL AIR. O GRUPO DIZ NÃO TER PARA ONDE IR DEPOIS QUE A EMPRESA FECHOU A CONTA DO HOTEL ONDE ESTAVAM HOSPEDADOS À ESPERA DE REMANEJAMENTO PARA OU</t>
        </is>
      </c>
      <c r="J2507">
        <f>HYPERLINK("https://portalamazonia.com/noticias/haitianos-protestam-contra-companhia-aerea-em-manaus", "URL")</f>
        <v/>
      </c>
      <c r="K2507">
        <f>HYPERLINK("https://raw.githubusercontent.com/marcosmapl/dataset_imigrantes/main/noticias_filtered/portal_amazonia/haitianos/2017/02_mar/html/20459.20459_1393.html", "HTML")</f>
        <v/>
      </c>
      <c r="L2507">
        <f>HYPERLINK("https://raw.githubusercontent.com/marcosmapl/dataset_imigrantes/main/noticias_filtered/portal_amazonia/haitianos/2017/02_mar/txt/20459.20459_1393.txt", "TXT")</f>
        <v/>
      </c>
    </row>
    <row r="2508">
      <c r="A2508" s="1" t="n">
        <v>2506</v>
      </c>
      <c r="B2508" t="n">
        <v>2017</v>
      </c>
      <c r="C2508" s="2" t="n">
        <v>42797.44930555556</v>
      </c>
      <c r="D2508" t="inlineStr">
        <is>
          <t>G1</t>
        </is>
      </c>
      <c r="E2508" t="inlineStr">
        <is>
          <t>HAITIANOS</t>
        </is>
      </c>
      <c r="F2508" t="inlineStr"/>
      <c r="G2508" t="inlineStr">
        <is>
          <t>RYLODO G1 AM</t>
        </is>
      </c>
      <c r="H2508" t="inlineStr">
        <is>
          <t>INSEL AIR PODE SER MULTADA EM ATÉ R$ 3 MILHÕES POR FALHA EM VOO DE HAITIANOS</t>
        </is>
      </c>
      <c r="I2508" t="inlineStr"/>
      <c r="J2508">
        <f>HYPERLINK("http://g1.globo.com/am/amazonas/noticia/2017/03/insel-air-pode-ser-multada-em-ate-r-3-milhoes-por-falha-em-voo-de-haitianos.html", "URL")</f>
        <v/>
      </c>
      <c r="K2508">
        <f>HYPERLINK("https://raw.githubusercontent.com/marcosmapl/dataset_imigrantes/main/noticias_filtered/g1/haitianos/2017/02_mar/html/g1_b99264d8-22f1-11ed-b24f-6dbe51e79fca_1763.html", "HTML")</f>
        <v/>
      </c>
      <c r="L2508">
        <f>HYPERLINK("https://raw.githubusercontent.com/marcosmapl/dataset_imigrantes/main/noticias_filtered/g1/haitianos/2017/02_mar/txt/g1_b99264d8-22f1-11ed-b24f-6dbe51e79fca_1763.txt", "TXT")</f>
        <v/>
      </c>
    </row>
    <row r="2509">
      <c r="A2509" s="1" t="n">
        <v>2507</v>
      </c>
      <c r="B2509" t="n">
        <v>2017</v>
      </c>
      <c r="C2509" s="2" t="n">
        <v>42797.33125</v>
      </c>
      <c r="D2509" t="inlineStr">
        <is>
          <t>G1</t>
        </is>
      </c>
      <c r="E2509" t="inlineStr">
        <is>
          <t>HAITIANOS</t>
        </is>
      </c>
      <c r="F2509" t="inlineStr"/>
      <c r="G2509" t="inlineStr">
        <is>
          <t>EN GONÇALVESDO G1 AM</t>
        </is>
      </c>
      <c r="H2509" t="inlineStr">
        <is>
          <t>HAITIANO TENTA CHEGAR A SP APÓS SER DEIXADO POR COMPANHIA AÉREA NO AM</t>
        </is>
      </c>
      <c r="I2509" t="inlineStr"/>
      <c r="J2509">
        <f>HYPERLINK("http://g1.globo.com/am/amazonas/noticia/2017/03/haitiano-tenta-chegar-sp-apos-ser-deixado-por-companhia-aerea-no-am.html", "URL")</f>
        <v/>
      </c>
      <c r="K2509">
        <f>HYPERLINK("https://raw.githubusercontent.com/marcosmapl/dataset_imigrantes/main/noticias_filtered/g1/haitianos/2017/02_mar/html/g1_6d5c36c8-232a-11ed-b24f-6dbe51e79fca_4179.html", "HTML")</f>
        <v/>
      </c>
      <c r="L2509">
        <f>HYPERLINK("https://raw.githubusercontent.com/marcosmapl/dataset_imigrantes/main/noticias_filtered/g1/haitianos/2017/02_mar/txt/g1_6d5c36c8-232a-11ed-b24f-6dbe51e79fca_4179.txt", "TXT")</f>
        <v/>
      </c>
    </row>
    <row r="2510">
      <c r="A2510" s="1" t="n">
        <v>2508</v>
      </c>
      <c r="B2510" t="n">
        <v>2017</v>
      </c>
      <c r="C2510" s="2" t="n">
        <v>42797.11597222222</v>
      </c>
      <c r="D2510" t="inlineStr">
        <is>
          <t>A CRITICA</t>
        </is>
      </c>
      <c r="E2510" t="inlineStr">
        <is>
          <t>HAITIANOS</t>
        </is>
      </c>
      <c r="F2510" t="inlineStr">
        <is>
          <t>MANAUS</t>
        </is>
      </c>
      <c r="G2510" t="inlineStr">
        <is>
          <t>DANTE GRAÇA</t>
        </is>
      </c>
      <c r="H2510" t="inlineStr">
        <is>
          <t>HAITIANOS SÃO ABANDONADOS NO AEROPORTO DE MANAUS APÓS PROBLEMAS COM A INSEL AIR</t>
        </is>
      </c>
      <c r="I2510" t="inlineStr">
        <is>
          <t>SEM DINHEIRO E SEM QUALQUER AUXÍLIO DA COMPANHIA AÉREA, GRUPO DE HAITIANOS RELATA FALTA DE RESPEITO E PERDA DE EMPREGOS EM CIDADES DO PAÍS POR CONTA DA SITUAÇÃO</t>
        </is>
      </c>
      <c r="J2510">
        <f>HYPERLINK("https://www.acritica.com/manaus/haitianos-s-o-abandonados-no-aeroporto-de-manaus-apos-problemas-com-a-insel-air-1.181413", "URL")</f>
        <v/>
      </c>
      <c r="K2510">
        <f>HYPERLINK("https://raw.githubusercontent.com/marcosmapl/dataset_imigrantes/main/noticias_filtered/a_critica/haitianos/2017/02_mar/html/1.181413_311.html", "HTML")</f>
        <v/>
      </c>
      <c r="L2510">
        <f>HYPERLINK("https://raw.githubusercontent.com/marcosmapl/dataset_imigrantes/main/noticias_filtered/a_critica/haitianos/2017/02_mar/txt/1.181413_311.txt", "TXT")</f>
        <v/>
      </c>
    </row>
    <row r="2511">
      <c r="A2511" s="1" t="n">
        <v>2509</v>
      </c>
      <c r="B2511" t="n">
        <v>2017</v>
      </c>
      <c r="C2511" s="2" t="n">
        <v>42796.99930555555</v>
      </c>
      <c r="D2511" t="inlineStr">
        <is>
          <t>G1</t>
        </is>
      </c>
      <c r="E2511" t="inlineStr">
        <is>
          <t>HAITIANOS</t>
        </is>
      </c>
      <c r="F2511" t="inlineStr"/>
      <c r="G2511" t="inlineStr">
        <is>
          <t>EN GONÇALVES, JAMILE ALVES E CAMILA HENRIQUES*DO G1 AM</t>
        </is>
      </c>
      <c r="H2511" t="inlineStr">
        <is>
          <t>HAITIANOS DEIXADOS NO AM PROTESTAM EM AEROPORTO CONTRA COMPANHIA AÉREA</t>
        </is>
      </c>
      <c r="I2511" t="inlineStr"/>
      <c r="J2511">
        <f>HYPERLINK("http://g1.globo.com/am/amazonas/noticia/2017/03/haitianos-deixados-no-am-protestam-em-aeroporto-contra-companhia-aerea.html", "URL")</f>
        <v/>
      </c>
      <c r="K2511">
        <f>HYPERLINK("https://raw.githubusercontent.com/marcosmapl/dataset_imigrantes/main/noticias_filtered/g1/haitianos/2017/02_mar/html/g1_01e38458-22fa-11ed-b24f-6dbe51e79fca_2194.html", "HTML")</f>
        <v/>
      </c>
      <c r="L2511">
        <f>HYPERLINK("https://raw.githubusercontent.com/marcosmapl/dataset_imigrantes/main/noticias_filtered/g1/haitianos/2017/02_mar/txt/g1_01e38458-22fa-11ed-b24f-6dbe51e79fca_2194.txt", "TXT")</f>
        <v/>
      </c>
    </row>
    <row r="2512">
      <c r="A2512" s="1" t="n">
        <v>2510</v>
      </c>
      <c r="B2512" t="n">
        <v>2017</v>
      </c>
      <c r="C2512" s="2" t="n">
        <v>42796.71527777778</v>
      </c>
      <c r="D2512" t="inlineStr">
        <is>
          <t>G1</t>
        </is>
      </c>
      <c r="E2512" t="inlineStr">
        <is>
          <t>VENEZUELANOS</t>
        </is>
      </c>
      <c r="F2512" t="inlineStr"/>
      <c r="G2512" t="inlineStr">
        <is>
          <t>SON FÉLIXDO G1 RR</t>
        </is>
      </c>
      <c r="H2512" t="inlineStr">
        <is>
          <t>VENEZUELANA É PRESA EM RR POR FAZER CIRURGIAS ESTÉTICAS EM CLÍNICA ILEGAL</t>
        </is>
      </c>
      <c r="I2512" t="inlineStr"/>
      <c r="J2512">
        <f>HYPERLINK("http://g1.globo.com/rr/roraima/noticia/2017/03/venezuelana-e-presa-em-rr-por-fazer-cirurgias-esteticass-em-clinica-ilegal.html", "URL")</f>
        <v/>
      </c>
      <c r="K2512">
        <f>HYPERLINK("https://raw.githubusercontent.com/marcosmapl/dataset_imigrantes/main/noticias_filtered/g1/venezuelanos/2017/02_mar/html/g1_e8bc809a-2323-11ed-b24f-6dbe51e79fca_3835.html", "HTML")</f>
        <v/>
      </c>
      <c r="L2512">
        <f>HYPERLINK("https://raw.githubusercontent.com/marcosmapl/dataset_imigrantes/main/noticias_filtered/g1/venezuelanos/2017/02_mar/txt/g1_e8bc809a-2323-11ed-b24f-6dbe51e79fca_3835.txt", "TXT")</f>
        <v/>
      </c>
    </row>
    <row r="2513">
      <c r="A2513" s="1" t="n">
        <v>2511</v>
      </c>
      <c r="B2513" t="n">
        <v>2017</v>
      </c>
      <c r="C2513" s="2" t="n">
        <v>42795.38472222222</v>
      </c>
      <c r="D2513" t="inlineStr">
        <is>
          <t>G1</t>
        </is>
      </c>
      <c r="E2513" t="inlineStr">
        <is>
          <t>HAITIANOS</t>
        </is>
      </c>
      <c r="F2513" t="inlineStr"/>
      <c r="G2513" t="inlineStr">
        <is>
          <t>1 MT</t>
        </is>
      </c>
      <c r="H2513" t="inlineStr">
        <is>
          <t>HAITIANO QUE FICOU TETRAPLÉGICO APÓS TIRO REENCONTRA OS FILHOS APÓS 3 ANOS</t>
        </is>
      </c>
      <c r="I2513" t="inlineStr"/>
      <c r="J2513">
        <f>HYPERLINK("http://g1.globo.com/mato-grosso/noticia/2017/03/haitiano-que-ficou-tetraplegico-apos-tiro-reencontra-os-filhos-apos-3-anos.html", "URL")</f>
        <v/>
      </c>
      <c r="K2513">
        <f>HYPERLINK("https://raw.githubusercontent.com/marcosmapl/dataset_imigrantes/main/noticias_filtered/g1/haitianos/2017/02_mar/html/g1_116ef87a-22f1-11ed-b24f-6dbe51e79fca_1733.html", "HTML")</f>
        <v/>
      </c>
      <c r="L2513">
        <f>HYPERLINK("https://raw.githubusercontent.com/marcosmapl/dataset_imigrantes/main/noticias_filtered/g1/haitianos/2017/02_mar/txt/g1_116ef87a-22f1-11ed-b24f-6dbe51e79fca_1733.txt", "TXT")</f>
        <v/>
      </c>
    </row>
    <row r="2514">
      <c r="A2514" s="1" t="n">
        <v>2512</v>
      </c>
      <c r="B2514" t="n">
        <v>2017</v>
      </c>
      <c r="C2514" s="2" t="n">
        <v>42793.93611111111</v>
      </c>
      <c r="D2514" t="inlineStr">
        <is>
          <t>G1</t>
        </is>
      </c>
      <c r="E2514" t="inlineStr">
        <is>
          <t>HAITIANOS</t>
        </is>
      </c>
      <c r="F2514" t="inlineStr"/>
      <c r="G2514" t="inlineStr">
        <is>
          <t>1 RS</t>
        </is>
      </c>
      <c r="H2514" t="inlineStr">
        <is>
          <t>CAMPANHA NA INTERNET ARRECADA VALOR PARA HAITIANA TRAZER FILHOS AO BRASIL</t>
        </is>
      </c>
      <c r="I2514" t="inlineStr"/>
      <c r="J2514">
        <f>HYPERLINK("http://g1.globo.com/rs/rio-grande-do-sul/noticia/2017/02/campanha-na-internet-arrecada-valor-para-haitiana-trazer-filhos-ao-brasil.html", "URL")</f>
        <v/>
      </c>
      <c r="K2514">
        <f>HYPERLINK("https://raw.githubusercontent.com/marcosmapl/dataset_imigrantes/main/noticias_filtered/g1/haitianos/2017/01_fev/html/g1_72433484-2307-11ed-b24f-6dbe51e79fca_2318.html", "HTML")</f>
        <v/>
      </c>
      <c r="L2514">
        <f>HYPERLINK("https://raw.githubusercontent.com/marcosmapl/dataset_imigrantes/main/noticias_filtered/g1/haitianos/2017/01_fev/txt/g1_72433484-2307-11ed-b24f-6dbe51e79fca_2318.txt", "TXT")</f>
        <v/>
      </c>
    </row>
    <row r="2515">
      <c r="A2515" s="1" t="n">
        <v>2513</v>
      </c>
      <c r="B2515" t="n">
        <v>2017</v>
      </c>
      <c r="C2515" s="2" t="n">
        <v>42792.06032407407</v>
      </c>
      <c r="D2515" t="inlineStr">
        <is>
          <t>A CRITICA</t>
        </is>
      </c>
      <c r="E2515" t="inlineStr">
        <is>
          <t>VENEZUELANOS</t>
        </is>
      </c>
      <c r="F2515" t="inlineStr"/>
      <c r="G2515" t="inlineStr">
        <is>
          <t>LAYNNA FEITOZA</t>
        </is>
      </c>
      <c r="H2515" t="inlineStr">
        <is>
          <t>CAPRICHANDO NAS FANTASIAS, FAMÍLIA DE VENEZUELANOS CURTE A FESTA NO SAMBÓDROMO</t>
        </is>
      </c>
      <c r="I2515" t="inlineStr">
        <is>
          <t>DANÇARINO DO BALÉ FOLCLÓRICO TROUXE FAMÍLIA PARA MANAUS POR CONTA DA CRISE VENEZUELANA E TODOS MOSTRAM SAMBA NO PÉ</t>
        </is>
      </c>
      <c r="J2515">
        <f>HYPERLINK("https://www.acritica.com/caprichando-nas-fantasias-familia-de-venezuelanos-curte-a-festa-no-sambodromo-1.95364", "URL")</f>
        <v/>
      </c>
      <c r="K2515">
        <f>HYPERLINK("https://raw.githubusercontent.com/marcosmapl/dataset_imigrantes/main/noticias_filtered/a_critica/venezuelanos/2017/01_fev/html/1.95364_665.html", "HTML")</f>
        <v/>
      </c>
      <c r="L2515">
        <f>HYPERLINK("https://raw.githubusercontent.com/marcosmapl/dataset_imigrantes/main/noticias_filtered/a_critica/venezuelanos/2017/01_fev/txt/1.95364_665.txt", "TXT")</f>
        <v/>
      </c>
    </row>
    <row r="2516">
      <c r="A2516" s="1" t="n">
        <v>2514</v>
      </c>
      <c r="B2516" t="n">
        <v>2017</v>
      </c>
      <c r="C2516" s="2" t="n">
        <v>42786.50208333333</v>
      </c>
      <c r="D2516" t="inlineStr">
        <is>
          <t>G1</t>
        </is>
      </c>
      <c r="E2516" t="inlineStr">
        <is>
          <t>HAITIANOS</t>
        </is>
      </c>
      <c r="F2516" t="inlineStr"/>
      <c r="G2516" t="inlineStr">
        <is>
          <t>1 PR</t>
        </is>
      </c>
      <c r="H2516" t="inlineStr">
        <is>
          <t>ASSISTÊNCIA SOCIAL DE PATO BRANCO ABRE 710 VAGAS EM CURSOS GRATUITOS</t>
        </is>
      </c>
      <c r="I2516" t="inlineStr"/>
      <c r="J2516">
        <f>HYPERLINK("http://g1.globo.com/pr/oeste-sudoeste/noticia/2017/02/assistencia-social-de-pato-branco-abre-710-vagas-em-cursos-gratuitos.html", "URL")</f>
        <v/>
      </c>
      <c r="K2516">
        <f>HYPERLINK("https://raw.githubusercontent.com/marcosmapl/dataset_imigrantes/main/noticias_filtered/g1/haitianos/2017/01_fev/html/g1_1429b8b4-22ee-11ed-b24f-6dbe51e79fca_1698.html", "HTML")</f>
        <v/>
      </c>
      <c r="L2516">
        <f>HYPERLINK("https://raw.githubusercontent.com/marcosmapl/dataset_imigrantes/main/noticias_filtered/g1/haitianos/2017/01_fev/txt/g1_1429b8b4-22ee-11ed-b24f-6dbe51e79fca_1698.txt", "TXT")</f>
        <v/>
      </c>
    </row>
    <row r="2517">
      <c r="A2517" s="1" t="n">
        <v>2515</v>
      </c>
      <c r="B2517" t="n">
        <v>2017</v>
      </c>
      <c r="C2517" s="2" t="n">
        <v>42784.73194444444</v>
      </c>
      <c r="D2517" t="inlineStr">
        <is>
          <t>PORTAL AMAZONIA</t>
        </is>
      </c>
      <c r="E2517" t="inlineStr">
        <is>
          <t>VENEZUELANOS</t>
        </is>
      </c>
      <c r="F2517" t="inlineStr">
        <is>
          <t>CIDADES</t>
        </is>
      </c>
      <c r="G2517" t="inlineStr">
        <is>
          <t>REDAÇÃO</t>
        </is>
      </c>
      <c r="H2517" t="inlineStr">
        <is>
          <t>RORAIMA ESPERA MAIOR MIGRAÇÃO DE VENEZUELANOS ESTE ANO</t>
        </is>
      </c>
      <c r="I2517" t="inlineStr">
        <is>
          <t>EM BUSCA DE UMA MELHOR QUALIDADE DE VIDA E FUGINDO DAS CRISES POLÍTICA E ECONÔMICA NO PAÍS, MILHARES DE VENEZUELANOS ESTÃO MIGRANDO PARA O BRASIL. DE 2015 PARA 2016, O NÚMERO DE PEDIDOS DE REFÚGIOS DE VENEZUELANOS AO BRASIL CRESCEU 3.000%. O ÊXODO SE</t>
        </is>
      </c>
      <c r="J2517">
        <f>HYPERLINK("https://portalamazonia.com/noticias/cidades/roraima-espera-maior-migracao-de-venezuelanos-este-ano", "URL")</f>
        <v/>
      </c>
      <c r="K2517">
        <f>HYPERLINK("https://raw.githubusercontent.com/marcosmapl/dataset_imigrantes/main/noticias_filtered/portal_amazonia/venezuelanos/2017/01_fev/html/20066.20066_1492.html", "HTML")</f>
        <v/>
      </c>
      <c r="L2517">
        <f>HYPERLINK("https://raw.githubusercontent.com/marcosmapl/dataset_imigrantes/main/noticias_filtered/portal_amazonia/venezuelanos/2017/01_fev/txt/20066.20066_1492.txt", "TXT")</f>
        <v/>
      </c>
    </row>
    <row r="2518">
      <c r="A2518" s="1" t="n">
        <v>2516</v>
      </c>
      <c r="B2518" t="n">
        <v>2017</v>
      </c>
      <c r="C2518" s="2" t="n">
        <v>42783.91875</v>
      </c>
      <c r="D2518" t="inlineStr">
        <is>
          <t>G1</t>
        </is>
      </c>
      <c r="E2518" t="inlineStr">
        <is>
          <t>VENEZUELANOS</t>
        </is>
      </c>
      <c r="F2518" t="inlineStr"/>
      <c r="G2518" t="inlineStr">
        <is>
          <t>ELO MARQUESDO G1 RR</t>
        </is>
      </c>
      <c r="H2518" t="inlineStr">
        <is>
          <t>VENEZUELANAS GRÁVIDAS SE PASSAM POR CLIENTES E FURTAM FARMÁCIA EM RORAIMA</t>
        </is>
      </c>
      <c r="I2518" t="inlineStr"/>
      <c r="J2518">
        <f>HYPERLINK("http://g1.globo.com/rr/roraima/noticia/2017/02/venezuelanas-gravidas-se-passam-por-clientes-e-furtam-farmacia-em-roraima.html", "URL")</f>
        <v/>
      </c>
      <c r="K2518">
        <f>HYPERLINK("https://raw.githubusercontent.com/marcosmapl/dataset_imigrantes/main/noticias_filtered/g1/venezuelanos/2017/01_fev/html/g1_4f91ac90-231b-11ed-b24f-6dbe51e79fca_3378.html", "HTML")</f>
        <v/>
      </c>
      <c r="L2518">
        <f>HYPERLINK("https://raw.githubusercontent.com/marcosmapl/dataset_imigrantes/main/noticias_filtered/g1/venezuelanos/2017/01_fev/txt/g1_4f91ac90-231b-11ed-b24f-6dbe51e79fca_3378.txt", "TXT")</f>
        <v/>
      </c>
    </row>
    <row r="2519">
      <c r="A2519" s="1" t="n">
        <v>2517</v>
      </c>
      <c r="B2519" t="n">
        <v>2017</v>
      </c>
      <c r="C2519" s="2" t="n">
        <v>42782.94861111111</v>
      </c>
      <c r="D2519" t="inlineStr">
        <is>
          <t>A CRITICA</t>
        </is>
      </c>
      <c r="E2519" t="inlineStr">
        <is>
          <t>HAITIANOS</t>
        </is>
      </c>
      <c r="F2519" t="inlineStr">
        <is>
          <t>ENTRETENIMENTO</t>
        </is>
      </c>
      <c r="G2519" t="inlineStr">
        <is>
          <t>RAFAEL SEIXAS</t>
        </is>
      </c>
      <c r="H2519" t="inlineStr">
        <is>
          <t>GRUPO DE HAITIANOS SENSATION + FAZEM A FESTA EM EVENTO NO BAIRRO SÃO GERALDO</t>
        </is>
      </c>
      <c r="I2519" t="inlineStr">
        <is>
          <t>A BANDA EXISTE HÁ MAIS DE UM ANO E FOI FORMADA EM MANAUS. NO REPERTÓRIO, ELES TOCAM REGGAETON E ZUMBA, ZOUK</t>
        </is>
      </c>
      <c r="J2519">
        <f>HYPERLINK("https://www.acritica.com/entretenimento/grupo-de-haitianos-sensation-fazem-a-festa-em-evento-no-bairro-s-o-geraldo-1.97949", "URL")</f>
        <v/>
      </c>
      <c r="K2519">
        <f>HYPERLINK("https://raw.githubusercontent.com/marcosmapl/dataset_imigrantes/main/noticias_filtered/a_critica/haitianos/2017/01_fev/html/1.97949_171.html", "HTML")</f>
        <v/>
      </c>
      <c r="L2519">
        <f>HYPERLINK("https://raw.githubusercontent.com/marcosmapl/dataset_imigrantes/main/noticias_filtered/a_critica/haitianos/2017/01_fev/txt/1.97949_171.txt", "TXT")</f>
        <v/>
      </c>
    </row>
    <row r="2520">
      <c r="A2520" s="1" t="n">
        <v>2518</v>
      </c>
      <c r="B2520" t="n">
        <v>2017</v>
      </c>
      <c r="C2520" s="2" t="n">
        <v>42780.37361111111</v>
      </c>
      <c r="D2520" t="inlineStr">
        <is>
          <t>G1</t>
        </is>
      </c>
      <c r="E2520" t="inlineStr">
        <is>
          <t>HAITIANOS</t>
        </is>
      </c>
      <c r="F2520" t="inlineStr"/>
      <c r="G2520" t="inlineStr">
        <is>
          <t>1 RS</t>
        </is>
      </c>
      <c r="H2520" t="inlineStr">
        <is>
          <t>PRESO SUSPEITO DE MATAR HAITIANO A FACADAS EM PENSÃO DE GRAVATAÍ</t>
        </is>
      </c>
      <c r="I2520" t="inlineStr"/>
      <c r="J2520">
        <f>HYPERLINK("http://g1.globo.com/rs/rio-grande-do-sul/noticia/2017/02/preso-suspeito-de-matar-haitiano-facadas-em-pensao-de-gravatai.html", "URL")</f>
        <v/>
      </c>
      <c r="K2520">
        <f>HYPERLINK("https://raw.githubusercontent.com/marcosmapl/dataset_imigrantes/main/noticias_filtered/g1/haitianos/2017/01_fev/html/g1_4016732a-22f5-11ed-b24f-6dbe51e79fca_1938.html", "HTML")</f>
        <v/>
      </c>
      <c r="L2520">
        <f>HYPERLINK("https://raw.githubusercontent.com/marcosmapl/dataset_imigrantes/main/noticias_filtered/g1/haitianos/2017/01_fev/txt/g1_4016732a-22f5-11ed-b24f-6dbe51e79fca_1938.txt", "TXT")</f>
        <v/>
      </c>
    </row>
    <row r="2521">
      <c r="A2521" s="1" t="n">
        <v>2519</v>
      </c>
      <c r="B2521" t="n">
        <v>2017</v>
      </c>
      <c r="C2521" s="2" t="n">
        <v>42779.66180555556</v>
      </c>
      <c r="D2521" t="inlineStr">
        <is>
          <t>G1</t>
        </is>
      </c>
      <c r="E2521" t="inlineStr">
        <is>
          <t>HAITIANOS</t>
        </is>
      </c>
      <c r="F2521" t="inlineStr"/>
      <c r="G2521" t="inlineStr">
        <is>
          <t>1 AM</t>
        </is>
      </c>
      <c r="H2521" t="inlineStr">
        <is>
          <t>ESCRITORA DO RJ LANÇA ROMANCE GAY AMBIENTADO NO AMAZONAS</t>
        </is>
      </c>
      <c r="I2521" t="inlineStr"/>
      <c r="J2521">
        <f>HYPERLINK("http://g1.globo.com/am/amazonas/noticia/2017/02/escritora-do-rj-lanca-romance-gay-ambientado-no-amazonas.html", "URL")</f>
        <v/>
      </c>
      <c r="K2521">
        <f>HYPERLINK("https://raw.githubusercontent.com/marcosmapl/dataset_imigrantes/main/noticias_filtered/g1/haitianos/2017/01_fev/html/g1_57922308-230b-11ed-b24f-6dbe51e79fca_2559.html", "HTML")</f>
        <v/>
      </c>
      <c r="L2521">
        <f>HYPERLINK("https://raw.githubusercontent.com/marcosmapl/dataset_imigrantes/main/noticias_filtered/g1/haitianos/2017/01_fev/txt/g1_57922308-230b-11ed-b24f-6dbe51e79fca_2559.txt", "TXT")</f>
        <v/>
      </c>
    </row>
    <row r="2522">
      <c r="A2522" s="1" t="n">
        <v>2520</v>
      </c>
      <c r="B2522" t="n">
        <v>2017</v>
      </c>
      <c r="C2522" s="2" t="n">
        <v>42778.33333333334</v>
      </c>
      <c r="D2522" t="inlineStr">
        <is>
          <t>A CRITICA</t>
        </is>
      </c>
      <c r="E2522" t="inlineStr">
        <is>
          <t>VENEZUELANOS</t>
        </is>
      </c>
      <c r="F2522" t="inlineStr">
        <is>
          <t>ESPORTES</t>
        </is>
      </c>
      <c r="G2522" t="inlineStr">
        <is>
          <t>VALTER CARDOSO</t>
        </is>
      </c>
      <c r="H2522" t="inlineStr">
        <is>
          <t>NO AMAZONAS, BEISEBOL REÚNE COLÔNIA JAPONESA, TRAZ TÍTULOS E PROJETO PARA O FUTURO</t>
        </is>
      </c>
      <c r="I2522" t="inlineStr">
        <is>
          <t>JOGADORES DE BEISEBOL DO ESTADO FAZEM SUCESSO EM COMPETIÇÕES REGIONAIS, MAS NÃO CONSEGUEM REALIZAR TORNEIOS AQUI POR FALTA DE TIME. O PROJETO AGORA É INVESTIR NAS PRÓXIMAS GERAÇÕES</t>
        </is>
      </c>
      <c r="J2522">
        <f>HYPERLINK("https://www.acritica.com/esportes/no-amazonas-beisebol-reune-colonia-japonesa-traz-titulos-e-projeto-para-o-futuro-1.103695", "URL")</f>
        <v/>
      </c>
      <c r="K2522">
        <f>HYPERLINK("https://raw.githubusercontent.com/marcosmapl/dataset_imigrantes/main/noticias_filtered/a_critica/venezuelanos/2017/01_fev/html/1.103695_508.html", "HTML")</f>
        <v/>
      </c>
      <c r="L2522">
        <f>HYPERLINK("https://raw.githubusercontent.com/marcosmapl/dataset_imigrantes/main/noticias_filtered/a_critica/venezuelanos/2017/01_fev/txt/1.103695_508.txt", "TXT")</f>
        <v/>
      </c>
    </row>
    <row r="2523">
      <c r="A2523" s="1" t="n">
        <v>2521</v>
      </c>
      <c r="B2523" t="n">
        <v>2017</v>
      </c>
      <c r="C2523" s="2" t="n">
        <v>42776.72013888889</v>
      </c>
      <c r="D2523" t="inlineStr">
        <is>
          <t>A CRITICA</t>
        </is>
      </c>
      <c r="E2523" t="inlineStr">
        <is>
          <t>HAITIANOS</t>
        </is>
      </c>
      <c r="F2523" t="inlineStr">
        <is>
          <t>ENTRETENIMENTO</t>
        </is>
      </c>
      <c r="G2523" t="inlineStr">
        <is>
          <t>ACRÍTICA.COM</t>
        </is>
      </c>
      <c r="H2523" t="inlineStr">
        <is>
          <t>LIVRO 'COM AMOR, AMAZONAS' NARRA ROMANCE ENTRE CABOCLA E NEGRA NA AMAZÔNIA</t>
        </is>
      </c>
      <c r="I2523" t="inlineStr">
        <is>
          <t>A OBRA MISTURA POESIA E FOTOGRAFIA PARA TENTAR QUEBRAR PRECONCEITOS MASCARADOS NA SOCIEDADE</t>
        </is>
      </c>
      <c r="J2523">
        <f>HYPERLINK("https://www.acritica.com/entretenimento/livro-com-amor-amazonas-narra-romance-entre-cabocla-e-negra-na-amazonia-1.205367", "URL")</f>
        <v/>
      </c>
      <c r="K2523">
        <f>HYPERLINK("https://raw.githubusercontent.com/marcosmapl/dataset_imigrantes/main/noticias_filtered/a_critica/haitianos/2017/01_fev/html/1.205367_367.html", "HTML")</f>
        <v/>
      </c>
      <c r="L2523">
        <f>HYPERLINK("https://raw.githubusercontent.com/marcosmapl/dataset_imigrantes/main/noticias_filtered/a_critica/haitianos/2017/01_fev/txt/1.205367_367.txt", "TXT")</f>
        <v/>
      </c>
    </row>
    <row r="2524">
      <c r="A2524" s="1" t="n">
        <v>2522</v>
      </c>
      <c r="B2524" t="n">
        <v>2017</v>
      </c>
      <c r="C2524" s="2" t="n">
        <v>42774.86716435185</v>
      </c>
      <c r="D2524" t="inlineStr">
        <is>
          <t>A CRITICA</t>
        </is>
      </c>
      <c r="E2524" t="inlineStr">
        <is>
          <t>HAITIANOS</t>
        </is>
      </c>
      <c r="F2524" t="inlineStr">
        <is>
          <t>MANAUS</t>
        </is>
      </c>
      <c r="G2524" t="inlineStr">
        <is>
          <t>KELLY MELO</t>
        </is>
      </c>
      <c r="H2524" t="inlineStr">
        <is>
          <t>HAITIANOS RESIDENTES DE MANAUS RECEBEM EM AÇÃO ASSISTÊNCIA MÉDICA E SOCIAL</t>
        </is>
      </c>
      <c r="I2524" t="inlineStr">
        <is>
          <t>O EVENTO ESTÁ OCORRENDO NO BAIRRO NOVO ALEIXO E É ORGANIZADO PELA IGREJA ADVENTISTA DO 7° DIA</t>
        </is>
      </c>
      <c r="J2524">
        <f>HYPERLINK("https://www.acritica.com/manaus/haitianos-residentes-de-manaus-recebem-em-ac-o-assistencia-medica-e-social-1.205450", "URL")</f>
        <v/>
      </c>
      <c r="K2524">
        <f>HYPERLINK("https://raw.githubusercontent.com/marcosmapl/dataset_imigrantes/main/noticias_filtered/a_critica/haitianos/2017/01_fev/html/1.205450_486.html", "HTML")</f>
        <v/>
      </c>
      <c r="L2524">
        <f>HYPERLINK("https://raw.githubusercontent.com/marcosmapl/dataset_imigrantes/main/noticias_filtered/a_critica/haitianos/2017/01_fev/txt/1.205450_486.txt", "TXT")</f>
        <v/>
      </c>
    </row>
    <row r="2525">
      <c r="A2525" s="1" t="n">
        <v>2523</v>
      </c>
      <c r="B2525" t="n">
        <v>2017</v>
      </c>
      <c r="C2525" s="2" t="n">
        <v>42774.54930555556</v>
      </c>
      <c r="D2525" t="inlineStr">
        <is>
          <t>G1</t>
        </is>
      </c>
      <c r="E2525" t="inlineStr">
        <is>
          <t>HAITIANOS</t>
        </is>
      </c>
      <c r="F2525" t="inlineStr"/>
      <c r="G2525" t="inlineStr">
        <is>
          <t>SE SOARESDO G1 MT</t>
        </is>
      </c>
      <c r="H2525" t="inlineStr">
        <is>
          <t>HAITIANOS RECLAMAM DA FALTA DE VAGAS PARA FILHOS EM CRECHES DE CUIABÁ</t>
        </is>
      </c>
      <c r="I2525" t="inlineStr"/>
      <c r="J2525">
        <f>HYPERLINK("http://g1.globo.com/mato-grosso/noticia/2017/02/haitianos-reclamam-da-falta-de-vagas-para-filhos-em-creches-de-cuiaba.html", "URL")</f>
        <v/>
      </c>
      <c r="K2525">
        <f>HYPERLINK("https://raw.githubusercontent.com/marcosmapl/dataset_imigrantes/main/noticias_filtered/g1/haitianos/2017/01_fev/html/g1_4a433da8-22f3-11ed-b24f-6dbe51e79fca_1834.html", "HTML")</f>
        <v/>
      </c>
      <c r="L2525">
        <f>HYPERLINK("https://raw.githubusercontent.com/marcosmapl/dataset_imigrantes/main/noticias_filtered/g1/haitianos/2017/01_fev/txt/g1_4a433da8-22f3-11ed-b24f-6dbe51e79fca_1834.txt", "TXT")</f>
        <v/>
      </c>
    </row>
    <row r="2526">
      <c r="A2526" s="1" t="n">
        <v>2524</v>
      </c>
      <c r="B2526" t="n">
        <v>2017</v>
      </c>
      <c r="C2526" s="2" t="n">
        <v>42774.29166666666</v>
      </c>
      <c r="D2526" t="inlineStr">
        <is>
          <t>A CRITICA</t>
        </is>
      </c>
      <c r="E2526" t="inlineStr">
        <is>
          <t>VENEZUELANOS</t>
        </is>
      </c>
      <c r="F2526" t="inlineStr">
        <is>
          <t>MANAUS</t>
        </is>
      </c>
      <c r="G2526" t="inlineStr">
        <is>
          <t>RAFAEL SEIXAS</t>
        </is>
      </c>
      <c r="H2526" t="inlineStr">
        <is>
          <t>"VIEMOS PARA MANAUS PARA COMER", DIZ ÍNDIA VENEZUELANA QUE VIVE NA RODOVIÁRIA</t>
        </is>
      </c>
      <c r="I2526" t="inlineStr">
        <is>
          <t>GRUPO DE 20 ÍNDIOS WARAO ESTÁ ABRIGADO NA RODOVIÁRIA DE MANAUS HÁ POUCO MAIS DE UMA SEMANA. ELES VIERAM À CIDADE PARA FUGIR DA GRAVE CRISE QUE PASSA A VENEZUELA, COM ESCASSEZ DE ALIMENTOS E MEDICAMENTOS</t>
        </is>
      </c>
      <c r="J2526">
        <f>HYPERLINK("https://www.acritica.com/manaus/viemos-para-manaus-para-comer-diz-india-venezuelana-que-vive-na-rodoviaria-1.98652", "URL")</f>
        <v/>
      </c>
      <c r="K2526">
        <f>HYPERLINK("https://raw.githubusercontent.com/marcosmapl/dataset_imigrantes/main/noticias_filtered/a_critica/venezuelanos/2017/01_fev/html/1.98652_895.html", "HTML")</f>
        <v/>
      </c>
      <c r="L2526">
        <f>HYPERLINK("https://raw.githubusercontent.com/marcosmapl/dataset_imigrantes/main/noticias_filtered/a_critica/venezuelanos/2017/01_fev/txt/1.98652_895.txt", "TXT")</f>
        <v/>
      </c>
    </row>
    <row r="2527">
      <c r="A2527" s="1" t="n">
        <v>2525</v>
      </c>
      <c r="B2527" t="n">
        <v>2017</v>
      </c>
      <c r="C2527" s="2" t="n">
        <v>42774.29166666666</v>
      </c>
      <c r="D2527" t="inlineStr">
        <is>
          <t>A CRITICA</t>
        </is>
      </c>
      <c r="E2527" t="inlineStr">
        <is>
          <t>VENEZUELANOS</t>
        </is>
      </c>
      <c r="F2527" t="inlineStr">
        <is>
          <t>OPINIAO</t>
        </is>
      </c>
      <c r="G2527" t="inlineStr"/>
      <c r="H2527" t="inlineStr">
        <is>
          <t>SOLIDARIEDADE FAZ TODA A DIFERENÇA</t>
        </is>
      </c>
      <c r="I2527" t="inlineStr"/>
      <c r="J2527">
        <f>HYPERLINK("https://www.acritica.com/opiniao/solidariedade-faz-toda-a-diferenca-1.232814", "URL")</f>
        <v/>
      </c>
      <c r="K2527">
        <f>HYPERLINK("https://raw.githubusercontent.com/marcosmapl/dataset_imigrantes/main/noticias_filtered/a_critica/venezuelanos/2017/01_fev/html/1.232814_1229.html", "HTML")</f>
        <v/>
      </c>
      <c r="L2527">
        <f>HYPERLINK("https://raw.githubusercontent.com/marcosmapl/dataset_imigrantes/main/noticias_filtered/a_critica/venezuelanos/2017/01_fev/txt/1.232814_1229.txt", "TXT")</f>
        <v/>
      </c>
    </row>
    <row r="2528">
      <c r="A2528" s="1" t="n">
        <v>2526</v>
      </c>
      <c r="B2528" t="n">
        <v>2017</v>
      </c>
      <c r="C2528" s="2" t="n">
        <v>42773.71819444445</v>
      </c>
      <c r="D2528" t="inlineStr">
        <is>
          <t>A CRITICA</t>
        </is>
      </c>
      <c r="E2528" t="inlineStr">
        <is>
          <t>VENEZUELANOS</t>
        </is>
      </c>
      <c r="F2528" t="inlineStr">
        <is>
          <t>ESPORTES</t>
        </is>
      </c>
      <c r="G2528" t="inlineStr">
        <is>
          <t>ACRÍTICA.COM</t>
        </is>
      </c>
      <c r="H2528" t="inlineStr">
        <is>
          <t>ARGENTINOS DO BOCA JUNIORS DESEMBARCAM EM MANAUS PARA TEMPORADA DE TREINOS</t>
        </is>
      </c>
      <c r="I2528" t="inlineStr">
        <is>
          <t>ESTRANGEIROS TREINAM COM AMAZONENSES NA VILA OLÍMPICA DE MANAUS E INTERCÂMBIO DEVE DURAR 22 DIAS. PRÓXIMOS ATLETAS A REALIZAREM PREPARAÇÃO NA CAPITAL VIRÃO DA VENEZUELA</t>
        </is>
      </c>
      <c r="J2528">
        <f>HYPERLINK("https://www.acritica.com/esportes/argentinos-do-boca-juniors-desembarcam-em-manaus-para-temporada-de-treinos-1.98627", "URL")</f>
        <v/>
      </c>
      <c r="K2528">
        <f>HYPERLINK("https://raw.githubusercontent.com/marcosmapl/dataset_imigrantes/main/noticias_filtered/a_critica/venezuelanos/2017/01_fev/html/1.98627_1026.html", "HTML")</f>
        <v/>
      </c>
      <c r="L2528">
        <f>HYPERLINK("https://raw.githubusercontent.com/marcosmapl/dataset_imigrantes/main/noticias_filtered/a_critica/venezuelanos/2017/01_fev/txt/1.98627_1026.txt", "TXT")</f>
        <v/>
      </c>
    </row>
    <row r="2529">
      <c r="A2529" s="1" t="n">
        <v>2527</v>
      </c>
      <c r="B2529" t="n">
        <v>2017</v>
      </c>
      <c r="C2529" s="2" t="n">
        <v>42773.65903850694</v>
      </c>
      <c r="D2529" t="inlineStr">
        <is>
          <t>G1</t>
        </is>
      </c>
      <c r="E2529" t="inlineStr">
        <is>
          <t>HAITIANOS</t>
        </is>
      </c>
      <c r="F2529" t="inlineStr">
        <is>
          <t>MUNDO</t>
        </is>
      </c>
      <c r="G2529" t="inlineStr">
        <is>
          <t>AGÊNCIA EFE</t>
        </is>
      </c>
      <c r="H2529" t="inlineStr">
        <is>
          <t>JOVENEL MOISE TOMA POSSE COMO NOVO PRESIDENTE DO HAITI</t>
        </is>
      </c>
      <c r="I2529" t="inlineStr">
        <is>
          <t>EMPRESÁRIO DE 48 ANOS, DO PARTIDO HATIANO TET KALE (PHTK), CONQUISTOU A VITÓRIA NO PRIMEIRO TURNO COM 55,6% DOS VOTOS.</t>
        </is>
      </c>
      <c r="J2529">
        <f>HYPERLINK("https://g1.globo.com/mundo/noticia/jovenel-moise-toma-posse-como-novo-presidente-do-haiti.ghtml", "URL")</f>
        <v/>
      </c>
      <c r="K2529">
        <f>HYPERLINK("https://raw.githubusercontent.com/marcosmapl/dataset_imigrantes/main/noticias_filtered/g1/haitianos/2017/01_fev/html/g1_d8fc8774-2326-11ed-b24f-6dbe51e79fca_4001.html", "HTML")</f>
        <v/>
      </c>
      <c r="L2529">
        <f>HYPERLINK("https://raw.githubusercontent.com/marcosmapl/dataset_imigrantes/main/noticias_filtered/g1/haitianos/2017/01_fev/txt/g1_d8fc8774-2326-11ed-b24f-6dbe51e79fca_4001.txt", "TXT")</f>
        <v/>
      </c>
    </row>
    <row r="2530">
      <c r="A2530" s="1" t="n">
        <v>2528</v>
      </c>
      <c r="B2530" t="n">
        <v>2017</v>
      </c>
      <c r="C2530" s="2" t="n">
        <v>42769.25</v>
      </c>
      <c r="D2530" t="inlineStr">
        <is>
          <t>G1</t>
        </is>
      </c>
      <c r="E2530" t="inlineStr">
        <is>
          <t>HAITIANOS</t>
        </is>
      </c>
      <c r="F2530" t="inlineStr"/>
      <c r="G2530" t="inlineStr">
        <is>
          <t>1 SC</t>
        </is>
      </c>
      <c r="H2530" t="inlineStr">
        <is>
          <t>HAITIANO LUTA NA JUSTIÇA APÓS TER 90% DO CORPO QUEIMADO EM ITAJAÍ, SC</t>
        </is>
      </c>
      <c r="I2530" t="inlineStr"/>
      <c r="J2530">
        <f>HYPERLINK("http://g1.globo.com/sc/santa-catarina/noticia/2017/02/haitiano-luta-na-justica-apos-ter-90-do-corpo-queimado-em-itajai-sc.html", "URL")</f>
        <v/>
      </c>
      <c r="K2530">
        <f>HYPERLINK("https://raw.githubusercontent.com/marcosmapl/dataset_imigrantes/main/noticias_filtered/g1/haitianos/2017/01_fev/html/g1_ffddf8ea-22f5-11ed-b24f-6dbe51e79fca_1986.html", "HTML")</f>
        <v/>
      </c>
      <c r="L2530">
        <f>HYPERLINK("https://raw.githubusercontent.com/marcosmapl/dataset_imigrantes/main/noticias_filtered/g1/haitianos/2017/01_fev/txt/g1_ffddf8ea-22f5-11ed-b24f-6dbe51e79fca_1986.txt", "TXT")</f>
        <v/>
      </c>
    </row>
    <row r="2531">
      <c r="A2531" s="1" t="n">
        <v>2529</v>
      </c>
      <c r="B2531" t="n">
        <v>2017</v>
      </c>
      <c r="C2531" s="2" t="n">
        <v>42766.56180555555</v>
      </c>
      <c r="D2531" t="inlineStr">
        <is>
          <t>A CRITICA</t>
        </is>
      </c>
      <c r="E2531" t="inlineStr">
        <is>
          <t>VENEZUELANOS</t>
        </is>
      </c>
      <c r="F2531" t="inlineStr">
        <is>
          <t>MANAUS</t>
        </is>
      </c>
      <c r="G2531" t="inlineStr">
        <is>
          <t>KELLY MELO</t>
        </is>
      </c>
      <c r="H2531" t="inlineStr">
        <is>
          <t>ÔNIBUS IRREGULARES ENCURTAM ROTA E GERAM TRANSTORNOS PARA QUEM VAI AO PORTO DA CEASA</t>
        </is>
      </c>
      <c r="I2531" t="inlineStr">
        <is>
          <t>APÓS APREENSÃO DE ÔNIBUS COM DOCUMENTAÇÃO EM ATRASO PELA POLÍCIA RODOVIÁRIA FEDERAL, EMPRESAS DEIXAM USUÁRIOS NO MEIO DO CAMINHO</t>
        </is>
      </c>
      <c r="J2531">
        <f>HYPERLINK("https://www.acritica.com/manaus/onibus-irregulares-encurtam-rota-e-geram-transtornos-para-quem-vai-ao-porto-da-ceasa-1.178852", "URL")</f>
        <v/>
      </c>
      <c r="K2531">
        <f>HYPERLINK("https://raw.githubusercontent.com/marcosmapl/dataset_imigrantes/main/noticias_filtered/a_critica/venezuelanos/2017/00_jan/html/1.178852_424.html", "HTML")</f>
        <v/>
      </c>
      <c r="L2531">
        <f>HYPERLINK("https://raw.githubusercontent.com/marcosmapl/dataset_imigrantes/main/noticias_filtered/a_critica/venezuelanos/2017/00_jan/txt/1.178852_424.txt", "TXT")</f>
        <v/>
      </c>
    </row>
    <row r="2532">
      <c r="A2532" s="1" t="n">
        <v>2530</v>
      </c>
      <c r="B2532" t="n">
        <v>2017</v>
      </c>
      <c r="C2532" s="2" t="n">
        <v>42764.69861111111</v>
      </c>
      <c r="D2532" t="inlineStr">
        <is>
          <t>A CRITICA</t>
        </is>
      </c>
      <c r="E2532" t="inlineStr">
        <is>
          <t>VENEZUELANOS</t>
        </is>
      </c>
      <c r="F2532" t="inlineStr">
        <is>
          <t>ENTRETENIMENTO</t>
        </is>
      </c>
      <c r="G2532" t="inlineStr">
        <is>
          <t>LAYNNA FEITOZA</t>
        </is>
      </c>
      <c r="H2532" t="inlineStr">
        <is>
          <t>MISS AMAZONAS 2004 APRESENTOU ATIVIDADE DO MISS UNIVERSO E PRESTIGIARÁ A GRANDE FINAL</t>
        </is>
      </c>
      <c r="I2532" t="inlineStr">
        <is>
          <t>PRISCILLA MEIRELLES, QUE MORA NAS FILIPINAS HÁ MAIS DE 10 ANOS, FOI CONVIDADA PARA SER A APRESENTADORA DE UMA DAS COMPETIÇÕES DAS PRELIMINARES DO CONCURSO</t>
        </is>
      </c>
      <c r="J2532">
        <f>HYPERLINK("https://www.acritica.com/entretenimento/miss-amazonas-2004-apresentou-atividade-do-miss-universo-e-prestigiara-a-grande-final-1.178598", "URL")</f>
        <v/>
      </c>
      <c r="K2532">
        <f>HYPERLINK("https://raw.githubusercontent.com/marcosmapl/dataset_imigrantes/main/noticias_filtered/a_critica/venezuelanos/2017/00_jan/html/1.178598_104.html", "HTML")</f>
        <v/>
      </c>
      <c r="L2532">
        <f>HYPERLINK("https://raw.githubusercontent.com/marcosmapl/dataset_imigrantes/main/noticias_filtered/a_critica/venezuelanos/2017/00_jan/txt/1.178598_104.txt", "TXT")</f>
        <v/>
      </c>
    </row>
    <row r="2533">
      <c r="A2533" s="1" t="n">
        <v>2531</v>
      </c>
      <c r="B2533" t="n">
        <v>2017</v>
      </c>
      <c r="C2533" s="2" t="n">
        <v>42764.08333333334</v>
      </c>
      <c r="D2533" t="inlineStr">
        <is>
          <t>A CRITICA</t>
        </is>
      </c>
      <c r="E2533" t="inlineStr">
        <is>
          <t>AMBOS</t>
        </is>
      </c>
      <c r="F2533" t="inlineStr">
        <is>
          <t>OPINIAO</t>
        </is>
      </c>
      <c r="G2533" t="inlineStr">
        <is>
          <t>ORLANDO CÂMARA</t>
        </is>
      </c>
      <c r="H2533" t="inlineStr">
        <is>
          <t>ELDORADO</t>
        </is>
      </c>
      <c r="I2533" t="inlineStr">
        <is>
          <t>ARTIGOS DE DOMINGO - 29 DE JANEIRO DE 2017</t>
        </is>
      </c>
      <c r="J2533">
        <f>HYPERLINK("https://www.acritica.com/opiniao/eldorado-1.217371", "URL")</f>
        <v/>
      </c>
      <c r="K2533">
        <f>HYPERLINK("https://raw.githubusercontent.com/marcosmapl/dataset_imigrantes/main/noticias_filtered/a_critica/ambos/2017/00_jan/html/1.217371_55.html", "HTML")</f>
        <v/>
      </c>
      <c r="L2533">
        <f>HYPERLINK("https://raw.githubusercontent.com/marcosmapl/dataset_imigrantes/main/noticias_filtered/a_critica/ambos/2017/00_jan/txt/1.217371_55.txt", "TXT")</f>
        <v/>
      </c>
    </row>
    <row r="2534">
      <c r="A2534" s="1" t="n">
        <v>2532</v>
      </c>
      <c r="B2534" t="n">
        <v>2017</v>
      </c>
      <c r="C2534" s="2" t="n">
        <v>42763.70138888889</v>
      </c>
      <c r="D2534" t="inlineStr">
        <is>
          <t>PORTAL AMAZONIA</t>
        </is>
      </c>
      <c r="E2534" t="inlineStr">
        <is>
          <t>HAITIANOS</t>
        </is>
      </c>
      <c r="F2534" t="inlineStr">
        <is>
          <t>NOTÍCIAS</t>
        </is>
      </c>
      <c r="G2534" t="inlineStr">
        <is>
          <t>REDAÇÃO</t>
        </is>
      </c>
      <c r="H2534" t="inlineStr">
        <is>
          <t>HAITIANOS ENFRENTAM DIFICULDADES PARA CONSEGUIR EMPREGO EM MANAUS</t>
        </is>
      </c>
      <c r="I2534" t="inlineStr">
        <is>
          <t>MUITOS REFUGIADOS OCUPAM AS CALÇADAS DO CENTRO PARA TRABALHAR COMO VENDEDOR AMBULANTE</t>
        </is>
      </c>
      <c r="J2534">
        <f>HYPERLINK("https://portalamazonia.com/noticias/haitianos-enfrentam-dificuldades-para-conseguir-emprego-em-manaus", "URL")</f>
        <v/>
      </c>
      <c r="K2534">
        <f>HYPERLINK("https://raw.githubusercontent.com/marcosmapl/dataset_imigrantes/main/noticias_filtered/portal_amazonia/haitianos/2017/00_jan/html/23079.23079_1418.html", "HTML")</f>
        <v/>
      </c>
      <c r="L2534">
        <f>HYPERLINK("https://raw.githubusercontent.com/marcosmapl/dataset_imigrantes/main/noticias_filtered/portal_amazonia/haitianos/2017/00_jan/txt/23079.23079_1418.txt", "TXT")</f>
        <v/>
      </c>
    </row>
    <row r="2535">
      <c r="A2535" s="1" t="n">
        <v>2533</v>
      </c>
      <c r="B2535" t="n">
        <v>2017</v>
      </c>
      <c r="C2535" s="2" t="n">
        <v>42762.48207175926</v>
      </c>
      <c r="D2535" t="inlineStr">
        <is>
          <t>A CRITICA</t>
        </is>
      </c>
      <c r="E2535" t="inlineStr">
        <is>
          <t>VENEZUELANOS</t>
        </is>
      </c>
      <c r="F2535" t="inlineStr">
        <is>
          <t>ENTRETENIMENTO</t>
        </is>
      </c>
      <c r="G2535" t="inlineStr">
        <is>
          <t>ACRÍTICA.COM</t>
        </is>
      </c>
      <c r="H2535" t="inlineStr">
        <is>
          <t>FILME DE DRAMA RETRATA HISTÓRIA DO GENERAL VENEZUELANO ZAMORRA EM MANAUS</t>
        </is>
      </c>
      <c r="I2535" t="inlineStr">
        <is>
          <t>A SÉTIMA ARTE VENEZUELANA GANHA DESTAQUE NAS TELAS DO TEATRO GEBES MEDEIROS NA PRÓXIMA QUARTA-FEIRA (1º), ÀS 18H30, COM ENTRADA FRANCA</t>
        </is>
      </c>
      <c r="J2535">
        <f>HYPERLINK("https://www.acritica.com/entretenimento/filme-de-drama-retrata-historia-do-general-venezuelano-zamorra-em-manaus-1.177953", "URL")</f>
        <v/>
      </c>
      <c r="K2535">
        <f>HYPERLINK("https://raw.githubusercontent.com/marcosmapl/dataset_imigrantes/main/noticias_filtered/a_critica/venezuelanos/2017/00_jan/html/1.177953_876.html", "HTML")</f>
        <v/>
      </c>
      <c r="L2535">
        <f>HYPERLINK("https://raw.githubusercontent.com/marcosmapl/dataset_imigrantes/main/noticias_filtered/a_critica/venezuelanos/2017/00_jan/txt/1.177953_876.txt", "TXT")</f>
        <v/>
      </c>
    </row>
    <row r="2536">
      <c r="A2536" s="1" t="n">
        <v>2534</v>
      </c>
      <c r="B2536" t="n">
        <v>2017</v>
      </c>
      <c r="C2536" s="2" t="n">
        <v>42757.41666666666</v>
      </c>
      <c r="D2536" t="inlineStr">
        <is>
          <t>G1</t>
        </is>
      </c>
      <c r="E2536" t="inlineStr">
        <is>
          <t>HAITIANOS</t>
        </is>
      </c>
      <c r="F2536" t="inlineStr"/>
      <c r="G2536" t="inlineStr">
        <is>
          <t>1 SUL DE MINAS</t>
        </is>
      </c>
      <c r="H2536" t="inlineStr">
        <is>
          <t>CAMPANHA TENTA AJUDAR CASAL DE HAITIANOS A TRAZER FILHOS PARA MG</t>
        </is>
      </c>
      <c r="I2536" t="inlineStr"/>
      <c r="J2536">
        <f>HYPERLINK("http://g1.globo.com/mg/sul-de-minas/noticia/2017/01/campanha-tenta-ajudar-casal-de-haitianos-trazer-filhos-para-mg.html", "URL")</f>
        <v/>
      </c>
      <c r="K2536">
        <f>HYPERLINK("https://raw.githubusercontent.com/marcosmapl/dataset_imigrantes/main/noticias_filtered/g1/haitianos/2017/00_jan/html/g1_f6f90e64-22f4-11ed-b24f-6dbe51e79fca_1923.html", "HTML")</f>
        <v/>
      </c>
      <c r="L2536">
        <f>HYPERLINK("https://raw.githubusercontent.com/marcosmapl/dataset_imigrantes/main/noticias_filtered/g1/haitianos/2017/00_jan/txt/g1_f6f90e64-22f4-11ed-b24f-6dbe51e79fca_1923.txt", "TXT")</f>
        <v/>
      </c>
    </row>
    <row r="2537">
      <c r="A2537" s="1" t="n">
        <v>2535</v>
      </c>
      <c r="B2537" t="n">
        <v>2017</v>
      </c>
      <c r="C2537" s="2" t="n">
        <v>42756.29166666666</v>
      </c>
      <c r="D2537" t="inlineStr">
        <is>
          <t>G1</t>
        </is>
      </c>
      <c r="E2537" t="inlineStr">
        <is>
          <t>HAITIANOS</t>
        </is>
      </c>
      <c r="F2537" t="inlineStr"/>
      <c r="G2537" t="inlineStr">
        <is>
          <t>1 RS</t>
        </is>
      </c>
      <c r="H2537" t="inlineStr">
        <is>
          <t>VOLUNTÁRIOS FAZEM VAQUINHA PARA AJUDAR HAITIANA A TRAZER FILHOS AO BRASIL</t>
        </is>
      </c>
      <c r="I2537" t="inlineStr"/>
      <c r="J2537">
        <f>HYPERLINK("http://g1.globo.com/rs/rio-grande-do-sul/noticia/2017/01/voluntarios-fazem-vaquinha-para-ajudar-haitiana-trazer-filhos-ao-brasil.html", "URL")</f>
        <v/>
      </c>
      <c r="K2537">
        <f>HYPERLINK("https://raw.githubusercontent.com/marcosmapl/dataset_imigrantes/main/noticias_filtered/g1/haitianos/2017/00_jan/html/g1_27d6371e-2309-11ed-b24f-6dbe51e79fca_2430.html", "HTML")</f>
        <v/>
      </c>
      <c r="L2537">
        <f>HYPERLINK("https://raw.githubusercontent.com/marcosmapl/dataset_imigrantes/main/noticias_filtered/g1/haitianos/2017/00_jan/txt/g1_27d6371e-2309-11ed-b24f-6dbe51e79fca_2430.txt", "TXT")</f>
        <v/>
      </c>
    </row>
    <row r="2538">
      <c r="A2538" s="1" t="n">
        <v>2536</v>
      </c>
      <c r="B2538" t="n">
        <v>2017</v>
      </c>
      <c r="C2538" s="2" t="n">
        <v>42753.45902777778</v>
      </c>
      <c r="D2538" t="inlineStr">
        <is>
          <t>G1</t>
        </is>
      </c>
      <c r="E2538" t="inlineStr">
        <is>
          <t>HAITIANOS</t>
        </is>
      </c>
      <c r="F2538" t="inlineStr"/>
      <c r="G2538" t="inlineStr">
        <is>
          <t>SE SOARESDO G1 MT</t>
        </is>
      </c>
      <c r="H2538" t="inlineStr">
        <is>
          <t>HAITIANO É PRESO SUSPEITO DE AGREDIR MULHER E FILHO EM CHÁCARA EM MT</t>
        </is>
      </c>
      <c r="I2538" t="inlineStr"/>
      <c r="J2538">
        <f>HYPERLINK("http://g1.globo.com/mato-grosso/noticia/2017/01/haitiano-e-preso-suspeito-de-agredir-mulher-e-filho-em-chacara-em-mt.html", "URL")</f>
        <v/>
      </c>
      <c r="K2538">
        <f>HYPERLINK("https://raw.githubusercontent.com/marcosmapl/dataset_imigrantes/main/noticias_filtered/g1/haitianos/2017/00_jan/html/g1_22c6208a-22f1-11ed-b24f-6dbe51e79fca_1736.html", "HTML")</f>
        <v/>
      </c>
      <c r="L2538">
        <f>HYPERLINK("https://raw.githubusercontent.com/marcosmapl/dataset_imigrantes/main/noticias_filtered/g1/haitianos/2017/00_jan/txt/g1_22c6208a-22f1-11ed-b24f-6dbe51e79fca_1736.txt", "TXT")</f>
        <v/>
      </c>
    </row>
    <row r="2539">
      <c r="A2539" s="1" t="n">
        <v>2537</v>
      </c>
      <c r="B2539" t="n">
        <v>2017</v>
      </c>
      <c r="C2539" s="2" t="n">
        <v>42749.74305555555</v>
      </c>
      <c r="D2539" t="inlineStr">
        <is>
          <t>G1</t>
        </is>
      </c>
      <c r="E2539" t="inlineStr">
        <is>
          <t>HAITIANOS</t>
        </is>
      </c>
      <c r="F2539" t="inlineStr"/>
      <c r="G2539" t="inlineStr">
        <is>
          <t>1 SC</t>
        </is>
      </c>
      <c r="H2539" t="inlineStr">
        <is>
          <t>CURSO GRATUITO PREPARA HAITIANOS PARA ENTRAR NA UNIVERSIDADE EM SC</t>
        </is>
      </c>
      <c r="I2539" t="inlineStr"/>
      <c r="J2539">
        <f>HYPERLINK("http://g1.globo.com/sc/santa-catarina/noticia/2017/01/curso-gratuito-prepara-haitianos-para-entrar-na-universidade-em-sc.html", "URL")</f>
        <v/>
      </c>
      <c r="K2539">
        <f>HYPERLINK("https://raw.githubusercontent.com/marcosmapl/dataset_imigrantes/main/noticias_filtered/g1/haitianos/2017/00_jan/html/g1_5e62ec6e-22f5-11ed-b24f-6dbe51e79fca_1944.html", "HTML")</f>
        <v/>
      </c>
      <c r="L2539">
        <f>HYPERLINK("https://raw.githubusercontent.com/marcosmapl/dataset_imigrantes/main/noticias_filtered/g1/haitianos/2017/00_jan/txt/g1_5e62ec6e-22f5-11ed-b24f-6dbe51e79fca_1944.txt", "TXT")</f>
        <v/>
      </c>
    </row>
    <row r="2540">
      <c r="A2540" s="1" t="n">
        <v>2538</v>
      </c>
      <c r="B2540" t="n">
        <v>2017</v>
      </c>
      <c r="C2540" s="2" t="n">
        <v>42747.52796296297</v>
      </c>
      <c r="D2540" t="inlineStr">
        <is>
          <t>A CRITICA</t>
        </is>
      </c>
      <c r="E2540" t="inlineStr">
        <is>
          <t>HAITIANOS</t>
        </is>
      </c>
      <c r="F2540" t="inlineStr"/>
      <c r="G2540" t="inlineStr">
        <is>
          <t>DA ANSA</t>
        </is>
      </c>
      <c r="H2540" t="inlineStr">
        <is>
          <t>APÓS 7 ANOS, HAITI AINDA TENTA SE RECUPERAR DE TERREMOTO QUE MATOU 230 MIL</t>
        </is>
      </c>
      <c r="I2540" t="inlineStr">
        <is>
          <t>TERREMOTO DE 7 GRAUS NA ESCALA RICHTER DEVASTOU PAÍS NO DIA 12 DE JANEIRO DE 2010. PELO MENOS 230 MIL PESSOAS MORRERAM, OUTRAS 300 MIL FICARAM FERIDAS E 1,5 MILHÃO DESABRIGADAS</t>
        </is>
      </c>
      <c r="J2540">
        <f>HYPERLINK("https://www.acritica.com/apos-7-anos-haiti-ainda-tenta-se-recuperar-de-terremoto-que-matou-230-mil-1.205834", "URL")</f>
        <v/>
      </c>
      <c r="K2540">
        <f>HYPERLINK("https://raw.githubusercontent.com/marcosmapl/dataset_imigrantes/main/noticias_filtered/a_critica/haitianos/2017/00_jan/html/1.205834_299.html", "HTML")</f>
        <v/>
      </c>
      <c r="L2540">
        <f>HYPERLINK("https://raw.githubusercontent.com/marcosmapl/dataset_imigrantes/main/noticias_filtered/a_critica/haitianos/2017/00_jan/txt/1.205834_299.txt", "TXT")</f>
        <v/>
      </c>
    </row>
    <row r="2541">
      <c r="A2541" s="1" t="n">
        <v>2539</v>
      </c>
      <c r="B2541" t="n">
        <v>2017</v>
      </c>
      <c r="C2541" s="2" t="n">
        <v>42746.29166666666</v>
      </c>
      <c r="D2541" t="inlineStr">
        <is>
          <t>A CRITICA</t>
        </is>
      </c>
      <c r="E2541" t="inlineStr">
        <is>
          <t>VENEZUELANOS</t>
        </is>
      </c>
      <c r="F2541" t="inlineStr"/>
      <c r="G2541" t="inlineStr">
        <is>
          <t>SILANE SOUZA</t>
        </is>
      </c>
      <c r="H2541" t="inlineStr">
        <is>
          <t>APÓS MASSACRE, FEDERAÇÃO DENUNCIA FALTA DE SISTEMA BIOMÉTRICO NO AMAZONAS</t>
        </is>
      </c>
      <c r="I2541" t="inlineStr">
        <is>
          <t>AUSÊNCIA DE ESPECIALISTAS E DE EQUIPAMENTOS DE IDENTIFICAÇÃO BIOMÉTRICA DEIXA O AMAZONAS ENTRE OS PIORES COLOCADOS NO SETOR, DIZ FEDERAÇÃO NACIONAL DOS PERITOS EM PAPILOSCOPIA E IDENTIFICAÇÃO (FENAPPI)</t>
        </is>
      </c>
      <c r="J2541">
        <f>HYPERLINK("https://www.acritica.com/apos-massacre-federac-o-denuncia-falta-de-sistema-biometrico-no-amazonas-1.206051", "URL")</f>
        <v/>
      </c>
      <c r="K2541">
        <f>HYPERLINK("https://raw.githubusercontent.com/marcosmapl/dataset_imigrantes/main/noticias_filtered/a_critica/venezuelanos/2017/00_jan/html/1.206051_1042.html", "HTML")</f>
        <v/>
      </c>
      <c r="L2541">
        <f>HYPERLINK("https://raw.githubusercontent.com/marcosmapl/dataset_imigrantes/main/noticias_filtered/a_critica/venezuelanos/2017/00_jan/txt/1.206051_1042.txt", "TXT")</f>
        <v/>
      </c>
    </row>
    <row r="2542">
      <c r="A2542" s="1" t="n">
        <v>2540</v>
      </c>
      <c r="B2542" t="n">
        <v>2017</v>
      </c>
      <c r="C2542" s="2" t="n">
        <v>42746.29166666666</v>
      </c>
      <c r="D2542" t="inlineStr">
        <is>
          <t>A CRITICA</t>
        </is>
      </c>
      <c r="E2542" t="inlineStr">
        <is>
          <t>VENEZUELANOS</t>
        </is>
      </c>
      <c r="F2542" t="inlineStr">
        <is>
          <t>MANAUS</t>
        </is>
      </c>
      <c r="G2542" t="inlineStr">
        <is>
          <t>LUANA CARVALHO</t>
        </is>
      </c>
      <c r="H2542" t="inlineStr">
        <is>
          <t>VENDEDORES DENUNCIAM TER SIDO AGREDIDOS POR FISCAIS DA PREFEITURA DE MANAUS</t>
        </is>
      </c>
      <c r="I2542" t="inlineStr">
        <is>
          <t>COM HEMATOMAS NOS BRAÇOS E PERNAS, ELES DISSERAM QUE FORAM AGREDIDOS E ACUSADOS DE DESACATO. SÓ FORAM LIBERADOS APÓS PAGAREM FIANÇA DE R$ 900</t>
        </is>
      </c>
      <c r="J2542">
        <f>HYPERLINK("https://www.acritica.com/manaus/vendedores-denunciam-ter-sido-agredidos-por-fiscais-da-prefeitura-de-manaus-1.206037", "URL")</f>
        <v/>
      </c>
      <c r="K2542">
        <f>HYPERLINK("https://raw.githubusercontent.com/marcosmapl/dataset_imigrantes/main/noticias_filtered/a_critica/venezuelanos/2017/00_jan/html/1.206037_123.html", "HTML")</f>
        <v/>
      </c>
      <c r="L2542">
        <f>HYPERLINK("https://raw.githubusercontent.com/marcosmapl/dataset_imigrantes/main/noticias_filtered/a_critica/venezuelanos/2017/00_jan/txt/1.206037_123.txt", "TXT")</f>
        <v/>
      </c>
    </row>
    <row r="2543">
      <c r="A2543" s="1" t="n">
        <v>2541</v>
      </c>
      <c r="B2543" t="n">
        <v>2017</v>
      </c>
      <c r="C2543" s="2" t="n">
        <v>42744.82974537037</v>
      </c>
      <c r="D2543" t="inlineStr">
        <is>
          <t>A CRITICA</t>
        </is>
      </c>
      <c r="E2543" t="inlineStr">
        <is>
          <t>VENEZUELANOS</t>
        </is>
      </c>
      <c r="F2543" t="inlineStr"/>
      <c r="G2543" t="inlineStr">
        <is>
          <t>PAULO VICTOR CHAGAS -  AGÊNCIA BRASIL*</t>
        </is>
      </c>
      <c r="H2543" t="inlineStr">
        <is>
          <t>RORAIMA PEDE AJUDA FEDERAL E DIZ QUE NÃO PODE GARANTIR SEGURANÇA DE PRESOS</t>
        </is>
      </c>
      <c r="I2543" t="inlineStr">
        <is>
          <t>O OFÍCIO ASSINADO PELA GOVERNADORA SUELY CAMPOS SOLICITA O ENVIO DE EFETIVOS DA FORÇA NACIONAL DE SEGURANÇA, A TRANSFERÊNCIA DE PRESOS PARA PENITENCIÁRIAS FEDERAIS E UM APORTE MAIOR DE VALORES A RORAIMA</t>
        </is>
      </c>
      <c r="J2543">
        <f>HYPERLINK("https://www.acritica.com/roraima-pede-ajuda-federal-e-diz-que-n-o-pode-garantir-seguranca-de-presos-1.206203", "URL")</f>
        <v/>
      </c>
      <c r="K2543">
        <f>HYPERLINK("https://raw.githubusercontent.com/marcosmapl/dataset_imigrantes/main/noticias_filtered/a_critica/venezuelanos/2017/00_jan/html/1.206203_999.html", "HTML")</f>
        <v/>
      </c>
      <c r="L2543">
        <f>HYPERLINK("https://raw.githubusercontent.com/marcosmapl/dataset_imigrantes/main/noticias_filtered/a_critica/venezuelanos/2017/00_jan/txt/1.206203_999.txt", "TXT")</f>
        <v/>
      </c>
    </row>
    <row r="2544">
      <c r="A2544" s="1" t="n">
        <v>2542</v>
      </c>
      <c r="B2544" t="n">
        <v>2017</v>
      </c>
      <c r="C2544" s="2" t="n">
        <v>42744.70625</v>
      </c>
      <c r="D2544" t="inlineStr">
        <is>
          <t>A CRITICA</t>
        </is>
      </c>
      <c r="E2544" t="inlineStr">
        <is>
          <t>VENEZUELANOS</t>
        </is>
      </c>
      <c r="F2544" t="inlineStr">
        <is>
          <t>ESPORTES</t>
        </is>
      </c>
      <c r="G2544" t="inlineStr">
        <is>
          <t>MARCELO BRANDÃO (AGÊNCIA BRASIL)</t>
        </is>
      </c>
      <c r="H2544" t="inlineStr">
        <is>
          <t>CRISTIANO RONALDO É QUATRO VEZES MELHOR JOGADOR DO MUNDO PELA FIFA</t>
        </is>
      </c>
      <c r="I2544" t="inlineStr">
        <is>
          <t>DEPOIS DE VENCER A CHAPIONS E A EURO, RONALDO CONFIRMOU O FAVORITISMO NO PRÊMIO DE MELHOR DO MUNDO DA FIFA</t>
        </is>
      </c>
      <c r="J2544">
        <f>HYPERLINK("https://www.acritica.com/esportes/cristiano-ronaldo-e-quatro-vezes-melhor-jogador-do-mundo-pela-fifa-1.102855", "URL")</f>
        <v/>
      </c>
      <c r="K2544">
        <f>HYPERLINK("https://raw.githubusercontent.com/marcosmapl/dataset_imigrantes/main/noticias_filtered/a_critica/venezuelanos/2017/00_jan/html/1.102855_857.html", "HTML")</f>
        <v/>
      </c>
      <c r="L2544">
        <f>HYPERLINK("https://raw.githubusercontent.com/marcosmapl/dataset_imigrantes/main/noticias_filtered/a_critica/venezuelanos/2017/00_jan/txt/1.102855_857.txt", "TXT")</f>
        <v/>
      </c>
    </row>
    <row r="2545">
      <c r="A2545" s="1" t="n">
        <v>2543</v>
      </c>
      <c r="B2545" t="n">
        <v>2017</v>
      </c>
      <c r="C2545" s="2" t="n">
        <v>42744.45555555556</v>
      </c>
      <c r="D2545" t="inlineStr">
        <is>
          <t>PORTAL AMAZONIA</t>
        </is>
      </c>
      <c r="E2545" t="inlineStr">
        <is>
          <t>VENEZUELANOS</t>
        </is>
      </c>
      <c r="F2545" t="inlineStr">
        <is>
          <t>CIDADES</t>
        </is>
      </c>
      <c r="G2545" t="inlineStr">
        <is>
          <t>REDAÇÃO</t>
        </is>
      </c>
      <c r="H2545" t="inlineStr">
        <is>
          <t>APÓS MORTES EM PRESÍDIO, GOVERNO DE RORAIMA PEDE APOIO DA FORÇA NACIONAL</t>
        </is>
      </c>
      <c r="I2545" t="inlineStr">
        <is>
          <t>O GOVERNO DE RORAIMA DEVE PROTOCOLAR NESTA SEGUNDA-FEIRA, (9), O PEDIDO DE ENVIO DA FORÇA NACIONAL DE SEGURANÇA PARA O ESTADO. RORAIMA VIVE UMA CRISE NO SISTEMA CARCERÁRIO APÓS A MORTE DE 33 DETENTOS NA PENITENCIÁRIA AGRÍCOLA MONTE CRISTO, NA ZONA RU</t>
        </is>
      </c>
      <c r="J2545">
        <f>HYPERLINK("https://portalamazonia.com/noticias/cidades/apos-mortes-em-presidio-governo-de-roraima-pede-apoio-da-forca-nacional", "URL")</f>
        <v/>
      </c>
      <c r="K2545">
        <f>HYPERLINK("https://raw.githubusercontent.com/marcosmapl/dataset_imigrantes/main/noticias_filtered/portal_amazonia/venezuelanos/2017/00_jan/html/23843.23843_1517.html", "HTML")</f>
        <v/>
      </c>
      <c r="L2545">
        <f>HYPERLINK("https://raw.githubusercontent.com/marcosmapl/dataset_imigrantes/main/noticias_filtered/portal_amazonia/venezuelanos/2017/00_jan/txt/23843.23843_1517.txt", "TXT")</f>
        <v/>
      </c>
    </row>
    <row r="2546">
      <c r="A2546" s="1" t="n">
        <v>2544</v>
      </c>
      <c r="B2546" t="n">
        <v>2017</v>
      </c>
      <c r="C2546" s="2" t="n">
        <v>42741.83680555555</v>
      </c>
      <c r="D2546" t="inlineStr">
        <is>
          <t>A CRITICA</t>
        </is>
      </c>
      <c r="E2546" t="inlineStr">
        <is>
          <t>VENEZUELANOS</t>
        </is>
      </c>
      <c r="F2546" t="inlineStr"/>
      <c r="G2546" t="inlineStr">
        <is>
          <t>HELOISA CRISTALDO E DÉBORA BRITO (AGÊNCIA BRASIL)</t>
        </is>
      </c>
      <c r="H2546" t="inlineStr">
        <is>
          <t>FRONTEIRA ENTRE BRASIL E VENEZUELA É REABERTA APÓS DECISÃO DE MADURO</t>
        </is>
      </c>
      <c r="I2546" t="inlineStr">
        <is>
          <t>A PARTIR DE AGORA, O TRÂNSITO DE PESSOAS, AUTOMÓVEIS E MERCADORIAS VOLTA A SER NORMALIZADO, INCLUSIVE PARA SAÍDA DE CIDADÃOS VENEZUELANOS</t>
        </is>
      </c>
      <c r="J2546">
        <f>HYPERLINK("https://www.acritica.com/fronteira-entre-brasil-e-venezuela-e-reaberta-apos-decis-o-de-maduro-1.206555", "URL")</f>
        <v/>
      </c>
      <c r="K2546">
        <f>HYPERLINK("https://raw.githubusercontent.com/marcosmapl/dataset_imigrantes/main/noticias_filtered/a_critica/venezuelanos/2017/00_jan/html/1.206555_96.html", "HTML")</f>
        <v/>
      </c>
      <c r="L2546">
        <f>HYPERLINK("https://raw.githubusercontent.com/marcosmapl/dataset_imigrantes/main/noticias_filtered/a_critica/venezuelanos/2017/00_jan/txt/1.206555_96.txt", "TXT")</f>
        <v/>
      </c>
    </row>
    <row r="2547">
      <c r="A2547" s="1" t="n">
        <v>2545</v>
      </c>
      <c r="B2547" t="n">
        <v>2017</v>
      </c>
      <c r="C2547" s="2" t="n">
        <v>42739.39513888889</v>
      </c>
      <c r="D2547" t="inlineStr">
        <is>
          <t>G1</t>
        </is>
      </c>
      <c r="E2547" t="inlineStr">
        <is>
          <t>HAITIANOS</t>
        </is>
      </c>
      <c r="F2547" t="inlineStr"/>
      <c r="G2547" t="inlineStr">
        <is>
          <t>É SOUZADO G1 MT</t>
        </is>
      </c>
      <c r="H2547" t="inlineStr">
        <is>
          <t>MOSTRA COM FOTOGRAFIAS DE HAITIANOS BUSCA DAR VISIBILIDADE A ESTRANGEIROS</t>
        </is>
      </c>
      <c r="I2547" t="inlineStr"/>
      <c r="J2547">
        <f>HYPERLINK("http://g1.globo.com/mato-grosso/noticia/2017/01/mostra-com-fotografias-de-haitianos-busca-dar-visibilidade-estrangeiros.html", "URL")</f>
        <v/>
      </c>
      <c r="K2547">
        <f>HYPERLINK("https://raw.githubusercontent.com/marcosmapl/dataset_imigrantes/main/noticias_filtered/g1/haitianos/2017/00_jan/html/g1_df1125b0-22f5-11ed-b24f-6dbe51e79fca_1977.html", "HTML")</f>
        <v/>
      </c>
      <c r="L2547">
        <f>HYPERLINK("https://raw.githubusercontent.com/marcosmapl/dataset_imigrantes/main/noticias_filtered/g1/haitianos/2017/00_jan/txt/g1_df1125b0-22f5-11ed-b24f-6dbe51e79fca_1977.txt", "TXT")</f>
        <v/>
      </c>
    </row>
    <row r="2548">
      <c r="A2548" s="1" t="n">
        <v>2546</v>
      </c>
      <c r="B2548" t="n">
        <v>2017</v>
      </c>
      <c r="C2548" s="2" t="n">
        <v>42738.95662712963</v>
      </c>
      <c r="D2548" t="inlineStr">
        <is>
          <t>G1</t>
        </is>
      </c>
      <c r="E2548" t="inlineStr">
        <is>
          <t>HAITIANOS</t>
        </is>
      </c>
      <c r="F2548" t="inlineStr">
        <is>
          <t>MUNDO</t>
        </is>
      </c>
      <c r="G2548" t="inlineStr">
        <is>
          <t>REUTERS</t>
        </is>
      </c>
      <c r="H2548" t="inlineStr">
        <is>
          <t>JOVENEL MOISE É CONFIRMADO COMO PRESIDENTE DO HAITI</t>
        </is>
      </c>
      <c r="I2548" t="inlineStr">
        <is>
          <t>RESULTADO OFICIAL DE ELEIÇÃO DE NOVEMBRO FOI ANUNCIADO HOJE, APÓS TRIBUNAL NEGAR ACUSAÇÕES DE FRAUDE.</t>
        </is>
      </c>
      <c r="J2548">
        <f>HYPERLINK("https://g1.globo.com/mundo/noticia/jovenel-moise-e-confirmado-como-presidente-do-haiti.ghtml", "URL")</f>
        <v/>
      </c>
      <c r="K2548">
        <f>HYPERLINK("https://raw.githubusercontent.com/marcosmapl/dataset_imigrantes/main/noticias_filtered/g1/haitianos/2017/00_jan/html/g1_c690046e-22ed-11ed-b24f-6dbe51e79fca_1687.html", "HTML")</f>
        <v/>
      </c>
      <c r="L2548">
        <f>HYPERLINK("https://raw.githubusercontent.com/marcosmapl/dataset_imigrantes/main/noticias_filtered/g1/haitianos/2017/00_jan/txt/g1_c690046e-22ed-11ed-b24f-6dbe51e79fca_1687.txt", "TXT")</f>
        <v/>
      </c>
    </row>
    <row r="2549">
      <c r="A2549" s="1" t="n">
        <v>2547</v>
      </c>
      <c r="B2549" t="n">
        <v>2017</v>
      </c>
      <c r="C2549" s="2" t="n">
        <v>42738.56666666667</v>
      </c>
      <c r="D2549" t="inlineStr">
        <is>
          <t>G1</t>
        </is>
      </c>
      <c r="E2549" t="inlineStr">
        <is>
          <t>HAITIANOS</t>
        </is>
      </c>
      <c r="F2549" t="inlineStr"/>
      <c r="G2549" t="inlineStr">
        <is>
          <t>ÁLIA FRUETDA RBS TV</t>
        </is>
      </c>
      <c r="H2549" t="inlineStr">
        <is>
          <t>POLÍCIA PEDE PREVENTIVA DE SUSPEITO DE MATAR HAITIANO EM GRAVATAÍ</t>
        </is>
      </c>
      <c r="I2549" t="inlineStr"/>
      <c r="J2549">
        <f>HYPERLINK("http://g1.globo.com/rs/rio-grande-do-sul/noticia/2017/01/policia-pede-preventiva-de-suspeito-de-matar-haitiano-em-gravatai.html", "URL")</f>
        <v/>
      </c>
      <c r="K2549">
        <f>HYPERLINK("https://raw.githubusercontent.com/marcosmapl/dataset_imigrantes/main/noticias_filtered/g1/haitianos/2017/00_jan/html/g1_36b3b76e-22f7-11ed-b24f-6dbe51e79fca_2066.html", "HTML")</f>
        <v/>
      </c>
      <c r="L2549">
        <f>HYPERLINK("https://raw.githubusercontent.com/marcosmapl/dataset_imigrantes/main/noticias_filtered/g1/haitianos/2017/00_jan/txt/g1_36b3b76e-22f7-11ed-b24f-6dbe51e79fca_2066.txt", "TXT")</f>
        <v/>
      </c>
    </row>
    <row r="2550">
      <c r="A2550" s="1" t="n">
        <v>2548</v>
      </c>
      <c r="B2550" t="n">
        <v>2016</v>
      </c>
      <c r="C2550" s="2" t="n">
        <v>42735.74305555555</v>
      </c>
      <c r="D2550" t="inlineStr">
        <is>
          <t>G1</t>
        </is>
      </c>
      <c r="E2550" t="inlineStr">
        <is>
          <t>HAITIANOS</t>
        </is>
      </c>
      <c r="F2550" t="inlineStr"/>
      <c r="G2550" t="inlineStr">
        <is>
          <t>EL FAVERODO G1 RS</t>
        </is>
      </c>
      <c r="H2550" t="inlineStr">
        <is>
          <t>HAITIANOS SE DIZEM ASSUSTADOS COM MORTE DE AMIGO EM GRAVATAÍ</t>
        </is>
      </c>
      <c r="I2550" t="inlineStr"/>
      <c r="J2550">
        <f>HYPERLINK("http://g1.globo.com/rs/rio-grande-do-sul/noticia/2016/12/haitianos-se-dizem-assustados-com-morte-de-amigo-em-gravatai.html", "URL")</f>
        <v/>
      </c>
      <c r="K2550">
        <f>HYPERLINK("https://raw.githubusercontent.com/marcosmapl/dataset_imigrantes/main/noticias_filtered/g1/haitianos/2016/11_dez/html/g1_71786892-22fa-11ed-b24f-6dbe51e79fca_2220.html", "HTML")</f>
        <v/>
      </c>
      <c r="L2550">
        <f>HYPERLINK("https://raw.githubusercontent.com/marcosmapl/dataset_imigrantes/main/noticias_filtered/g1/haitianos/2016/11_dez/txt/g1_71786892-22fa-11ed-b24f-6dbe51e79fca_2220.txt", "TXT")</f>
        <v/>
      </c>
    </row>
    <row r="2551">
      <c r="A2551" s="1" t="n">
        <v>2549</v>
      </c>
      <c r="B2551" t="n">
        <v>2016</v>
      </c>
      <c r="C2551" s="2" t="n">
        <v>42734.98611111111</v>
      </c>
      <c r="D2551" t="inlineStr">
        <is>
          <t>G1</t>
        </is>
      </c>
      <c r="E2551" t="inlineStr">
        <is>
          <t>HAITIANOS</t>
        </is>
      </c>
      <c r="F2551" t="inlineStr"/>
      <c r="G2551" t="inlineStr">
        <is>
          <t>1 RS</t>
        </is>
      </c>
      <c r="H2551" t="inlineStr">
        <is>
          <t>HAITIANO É MORTO A FACADAS EM PENSÃO DE GRAVATAÍ</t>
        </is>
      </c>
      <c r="I2551" t="inlineStr"/>
      <c r="J2551">
        <f>HYPERLINK("http://g1.globo.com/rs/rio-grande-do-sul/noticia/2016/12/haitiano-e-morto-facadas-em-pensao-de-gravatai.html", "URL")</f>
        <v/>
      </c>
      <c r="K2551">
        <f>HYPERLINK("https://raw.githubusercontent.com/marcosmapl/dataset_imigrantes/main/noticias_filtered/g1/haitianos/2016/11_dez/html/g1_fdfa64a6-22f4-11ed-b24f-6dbe51e79fca_1925.html", "HTML")</f>
        <v/>
      </c>
      <c r="L2551">
        <f>HYPERLINK("https://raw.githubusercontent.com/marcosmapl/dataset_imigrantes/main/noticias_filtered/g1/haitianos/2016/11_dez/txt/g1_fdfa64a6-22f4-11ed-b24f-6dbe51e79fca_1925.txt", "TXT")</f>
        <v/>
      </c>
    </row>
    <row r="2552">
      <c r="A2552" s="1" t="n">
        <v>2550</v>
      </c>
      <c r="B2552" t="n">
        <v>2016</v>
      </c>
      <c r="C2552" s="2" t="n">
        <v>42731.89097222222</v>
      </c>
      <c r="D2552" t="inlineStr">
        <is>
          <t>PORTAL AMAZONIA</t>
        </is>
      </c>
      <c r="E2552" t="inlineStr">
        <is>
          <t>VENEZUELANOS</t>
        </is>
      </c>
      <c r="F2552" t="inlineStr">
        <is>
          <t>CIDADES</t>
        </is>
      </c>
      <c r="G2552" t="inlineStr">
        <is>
          <t>REDAÇÃO</t>
        </is>
      </c>
      <c r="H2552" t="inlineStr">
        <is>
          <t>MINISTRO PROMETE AJUDAR PACARAIMA EM SITUAÇÃO COM IMIGRANTES VENEZUELANOS</t>
        </is>
      </c>
      <c r="I2552" t="inlineStr">
        <is>
          <t>O MINISTRO DA SAÚDE, RICARDO BARROS, VISITOU NESTA TERÇA-FEIRA (27), AS INSTALAÇÕES DO HOSPITAL DÉLIO OLIVEIRA TUPINAMBÁ, NO MUNICÍPIO DE PACARAIMA (RR). NO LOCAL, O NÚMERO DE ATENDIMENTOS A VENEZUELANOS REPRESENTA GRANDE PARTE DAS CONSULTAS E PROCED</t>
        </is>
      </c>
      <c r="J2552">
        <f>HYPERLINK("https://portalamazonia.com/noticias/cidades/ministro-promete-ajudar-pacaraima-em-situacao-com-imigrantes-venezuelanos", "URL")</f>
        <v/>
      </c>
      <c r="K2552">
        <f>HYPERLINK("https://raw.githubusercontent.com/marcosmapl/dataset_imigrantes/main/noticias_filtered/portal_amazonia/venezuelanos/2016/11_dez/html/6170.6170_1462.html", "HTML")</f>
        <v/>
      </c>
      <c r="L2552">
        <f>HYPERLINK("https://raw.githubusercontent.com/marcosmapl/dataset_imigrantes/main/noticias_filtered/portal_amazonia/venezuelanos/2016/11_dez/txt/6170.6170_1462.txt", "TXT")</f>
        <v/>
      </c>
    </row>
    <row r="2553">
      <c r="A2553" s="1" t="n">
        <v>2551</v>
      </c>
      <c r="B2553" t="n">
        <v>2016</v>
      </c>
      <c r="C2553" s="2" t="n">
        <v>42730.82777777778</v>
      </c>
      <c r="D2553" t="inlineStr">
        <is>
          <t>PORTAL AMAZONIA</t>
        </is>
      </c>
      <c r="E2553" t="inlineStr">
        <is>
          <t>VENEZUELANOS</t>
        </is>
      </c>
      <c r="F2553" t="inlineStr">
        <is>
          <t>CIDADES</t>
        </is>
      </c>
      <c r="G2553" t="inlineStr">
        <is>
          <t>REDAÇÃO</t>
        </is>
      </c>
      <c r="H2553" t="inlineStr">
        <is>
          <t>MINISTRO VISITA RR PARA ACOMPANHAR A SITUAÇÃO DE IMIGRANTES VENEZUELANOS</t>
        </is>
      </c>
      <c r="I2553" t="inlineStr">
        <is>
          <t>MINISTRO RICARDO BARROS VISITA BOA VISTA PARA ACOMPANHAR A SITUAÇÃO DOS IMIGRANTES VENEZUELANOS. FOTO: REPRODUÇÃO/FOTOS PÚBLICASO MINISTRO DA SAÚDE, RICARDO BARROS, VISITA NESTA TERÇA-FEIRA (27) O MUNICÍPIO DE PACARAIMA (RR), NA FRONTEIRA COM A VENEZ</t>
        </is>
      </c>
      <c r="J2553">
        <f>HYPERLINK("https://portalamazonia.com/noticias/cidades/ministro-visita-rr-para-acompanhar-a-situacao-de-imigrantes-venezuelanos", "URL")</f>
        <v/>
      </c>
      <c r="K2553">
        <f>HYPERLINK("https://raw.githubusercontent.com/marcosmapl/dataset_imigrantes/main/noticias_filtered/portal_amazonia/venezuelanos/2016/11_dez/html/6138.6138_1395.html", "HTML")</f>
        <v/>
      </c>
      <c r="L2553">
        <f>HYPERLINK("https://raw.githubusercontent.com/marcosmapl/dataset_imigrantes/main/noticias_filtered/portal_amazonia/venezuelanos/2016/11_dez/txt/6138.6138_1395.txt", "TXT")</f>
        <v/>
      </c>
    </row>
    <row r="2554">
      <c r="A2554" s="1" t="n">
        <v>2552</v>
      </c>
      <c r="B2554" t="n">
        <v>2016</v>
      </c>
      <c r="C2554" s="2" t="n">
        <v>42730.29166666666</v>
      </c>
      <c r="D2554" t="inlineStr">
        <is>
          <t>A CRITICA</t>
        </is>
      </c>
      <c r="E2554" t="inlineStr">
        <is>
          <t>VENEZUELANOS</t>
        </is>
      </c>
      <c r="F2554" t="inlineStr">
        <is>
          <t>MANAUS</t>
        </is>
      </c>
      <c r="G2554" t="inlineStr">
        <is>
          <t>SILANE SOUZA</t>
        </is>
      </c>
      <c r="H2554" t="inlineStr">
        <is>
          <t>DEVIDO À CRISE, AMAZONAS RECEBE QUASE 800 PEDIDOS DE REFÚGIO DE VENEZUELANOS</t>
        </is>
      </c>
      <c r="I2554" t="inlineStr">
        <is>
          <t>DADOS SÃO RELATIVOS ATÉ OUTUBRO E SEGUNDO DELEGACIA DE POLÍCIA DE IMIGRAÇÃO DA PF DO AMAZONAS, NÚMERO É 115% MAIOR QUE EM 2015. VENEZUELANOS AFIRMAM QUE, EM COMPARAÇÃO AO PAÍS DE ORIGEM, 'NÃO HÁ CRISE NO BRASIL'</t>
        </is>
      </c>
      <c r="J2554">
        <f>HYPERLINK("https://www.acritica.com/manaus/devido-a-crise-amazonas-recebe-quase-800-pedidos-de-refugio-de-venezuelanos-1.207828", "URL")</f>
        <v/>
      </c>
      <c r="K2554">
        <f>HYPERLINK("https://raw.githubusercontent.com/marcosmapl/dataset_imigrantes/main/noticias_filtered/a_critica/venezuelanos/2016/11_dez/html/1.207828_1021.html", "HTML")</f>
        <v/>
      </c>
      <c r="L2554">
        <f>HYPERLINK("https://raw.githubusercontent.com/marcosmapl/dataset_imigrantes/main/noticias_filtered/a_critica/venezuelanos/2016/11_dez/txt/1.207828_1021.txt", "TXT")</f>
        <v/>
      </c>
    </row>
    <row r="2555">
      <c r="A2555" s="1" t="n">
        <v>2553</v>
      </c>
      <c r="B2555" t="n">
        <v>2016</v>
      </c>
      <c r="C2555" s="2" t="n">
        <v>42728.80347222222</v>
      </c>
      <c r="D2555" t="inlineStr">
        <is>
          <t>PORTAL AMAZONIA</t>
        </is>
      </c>
      <c r="E2555" t="inlineStr">
        <is>
          <t>AMBOS</t>
        </is>
      </c>
      <c r="F2555" t="inlineStr">
        <is>
          <t>CIDADES</t>
        </is>
      </c>
      <c r="G2555" t="inlineStr">
        <is>
          <t>REDAÇÃO</t>
        </is>
      </c>
      <c r="H2555" t="inlineStr">
        <is>
          <t>IMIGRANTES RECEBEM APOIO EM MANAUS</t>
        </is>
      </c>
      <c r="I2555" t="inlineStr">
        <is>
          <t>MESMO COM A CRISE ECONÔMICA NO PAÍS, AS CASAS DE APOIO A IMIGRANTES DE MANAUS NÃO DEIXAM DE RECEBER DOAÇÕES PARA A CEIA DE NATAL. NA PARÓQUIA SÃO GERALDO, QUE ACOLHE E ACOMPANHA OS IMIGRANTES HAITIANOS, VENEZUELANOS E CUBANOS, O APELO A ALIMENTOS E A</t>
        </is>
      </c>
      <c r="J2555">
        <f>HYPERLINK("https://portalamazonia.com/noticias/cidades/imigrantes-recebem-apoio-em-manaus", "URL")</f>
        <v/>
      </c>
      <c r="K2555">
        <f>HYPERLINK("https://raw.githubusercontent.com/marcosmapl/dataset_imigrantes/main/noticias_filtered/portal_amazonia/ambos/2016/11_dez/html/6098.6098_1497.html", "HTML")</f>
        <v/>
      </c>
      <c r="L2555">
        <f>HYPERLINK("https://raw.githubusercontent.com/marcosmapl/dataset_imigrantes/main/noticias_filtered/portal_amazonia/ambos/2016/11_dez/txt/6098.6098_1497.txt", "TXT")</f>
        <v/>
      </c>
    </row>
    <row r="2556">
      <c r="A2556" s="1" t="n">
        <v>2554</v>
      </c>
      <c r="B2556" t="n">
        <v>2016</v>
      </c>
      <c r="C2556" s="2" t="n">
        <v>42728.72777777778</v>
      </c>
      <c r="D2556" t="inlineStr">
        <is>
          <t>G1</t>
        </is>
      </c>
      <c r="E2556" t="inlineStr">
        <is>
          <t>HAITIANOS</t>
        </is>
      </c>
      <c r="F2556" t="inlineStr"/>
      <c r="G2556" t="inlineStr">
        <is>
          <t>1 MT</t>
        </is>
      </c>
      <c r="H2556" t="inlineStr">
        <is>
          <t>HAITIANO QUE FICOU PARAPLÉGICO APÓS LEVAR TIRO DEVE REVER FILHOS APÓS 3 ANOS</t>
        </is>
      </c>
      <c r="I2556" t="inlineStr"/>
      <c r="J2556">
        <f>HYPERLINK("http://g1.globo.com/mato-grosso/noticia/2016/12/haitiano-que-ficou-paraplegico-apos-levar-tiro-deve-rever-filhos-apos-3-anos.html", "URL")</f>
        <v/>
      </c>
      <c r="K2556">
        <f>HYPERLINK("https://raw.githubusercontent.com/marcosmapl/dataset_imigrantes/main/noticias_filtered/g1/haitianos/2016/11_dez/html/g1_1e434bc4-22f5-11ed-b24f-6dbe51e79fca_1932.html", "HTML")</f>
        <v/>
      </c>
      <c r="L2556">
        <f>HYPERLINK("https://raw.githubusercontent.com/marcosmapl/dataset_imigrantes/main/noticias_filtered/g1/haitianos/2016/11_dez/txt/g1_1e434bc4-22f5-11ed-b24f-6dbe51e79fca_1932.txt", "TXT")</f>
        <v/>
      </c>
    </row>
    <row r="2557">
      <c r="A2557" s="1" t="n">
        <v>2555</v>
      </c>
      <c r="B2557" t="n">
        <v>2016</v>
      </c>
      <c r="C2557" s="2" t="n">
        <v>42726.50709490741</v>
      </c>
      <c r="D2557" t="inlineStr">
        <is>
          <t>A CRITICA</t>
        </is>
      </c>
      <c r="E2557" t="inlineStr">
        <is>
          <t>VENEZUELANOS</t>
        </is>
      </c>
      <c r="F2557" t="inlineStr"/>
      <c r="G2557" t="inlineStr">
        <is>
          <t>IVAN RICHARD ESPOSITO (AGÊNCIA BRASIL)</t>
        </is>
      </c>
      <c r="H2557" t="inlineStr">
        <is>
          <t>ITAMARATY INFORMA QUE NÃO HÁ MAIS BRASILEIROS RETIDOS NA VENEZUELA</t>
        </is>
      </c>
      <c r="I2557" t="inlineStr">
        <is>
          <t>NA TERÇA (20) AS AUTORIDADES VENEZUELANAS REABRIRAM A FRONTEIRA PARA O TRÂNSITO DE PEDESTRES. A PASSAGEM DE VEÍCULOS OCORRE DIARIAMENTE ÀS 14H</t>
        </is>
      </c>
      <c r="J2557">
        <f>HYPERLINK("https://www.acritica.com/itamaraty-informa-que-n-o-ha-mais-brasileiros-retidos-na-venezuela-1.99775", "URL")</f>
        <v/>
      </c>
      <c r="K2557">
        <f>HYPERLINK("https://raw.githubusercontent.com/marcosmapl/dataset_imigrantes/main/noticias_filtered/a_critica/venezuelanos/2016/11_dez/html/1.99775_284.html", "HTML")</f>
        <v/>
      </c>
      <c r="L2557">
        <f>HYPERLINK("https://raw.githubusercontent.com/marcosmapl/dataset_imigrantes/main/noticias_filtered/a_critica/venezuelanos/2016/11_dez/txt/1.99775_284.txt", "TXT")</f>
        <v/>
      </c>
    </row>
    <row r="2558">
      <c r="A2558" s="1" t="n">
        <v>2556</v>
      </c>
      <c r="B2558" t="n">
        <v>2016</v>
      </c>
      <c r="C2558" s="2" t="n">
        <v>42725.29166666666</v>
      </c>
      <c r="D2558" t="inlineStr">
        <is>
          <t>A CRITICA</t>
        </is>
      </c>
      <c r="E2558" t="inlineStr">
        <is>
          <t>VENEZUELANOS</t>
        </is>
      </c>
      <c r="F2558" t="inlineStr">
        <is>
          <t>MANAUS</t>
        </is>
      </c>
      <c r="G2558" t="inlineStr">
        <is>
          <t>KELLY MELO</t>
        </is>
      </c>
      <c r="H2558" t="inlineStr">
        <is>
          <t>VOLTA DOS TURISTAS BRASILEIROS QUE ESTÃO NA VENEZUELA É LIBERADA</t>
        </is>
      </c>
      <c r="I2558" t="inlineStr">
        <is>
          <t>APENAS A PASSAGEM DE VEÍCULOS PRECISA SER COMUNICADA ATÉ AS 13H ÀS AUTORIDADES VENEZUELANAS</t>
        </is>
      </c>
      <c r="J2558">
        <f>HYPERLINK("https://www.acritica.com/manaus/volta-dos-turistas-brasileiros-que-est-o-na-venezuela-e-liberada-1.99832", "URL")</f>
        <v/>
      </c>
      <c r="K2558">
        <f>HYPERLINK("https://raw.githubusercontent.com/marcosmapl/dataset_imigrantes/main/noticias_filtered/a_critica/venezuelanos/2016/11_dez/html/1.99832_201.html", "HTML")</f>
        <v/>
      </c>
      <c r="L2558">
        <f>HYPERLINK("https://raw.githubusercontent.com/marcosmapl/dataset_imigrantes/main/noticias_filtered/a_critica/venezuelanos/2016/11_dez/txt/1.99832_201.txt", "TXT")</f>
        <v/>
      </c>
    </row>
    <row r="2559">
      <c r="A2559" s="1" t="n">
        <v>2557</v>
      </c>
      <c r="B2559" t="n">
        <v>2016</v>
      </c>
      <c r="C2559" s="2" t="n">
        <v>42724.83888888889</v>
      </c>
      <c r="D2559" t="inlineStr">
        <is>
          <t>A CRITICA</t>
        </is>
      </c>
      <c r="E2559" t="inlineStr">
        <is>
          <t>VENEZUELANOS</t>
        </is>
      </c>
      <c r="F2559" t="inlineStr">
        <is>
          <t>MANAUS</t>
        </is>
      </c>
      <c r="G2559" t="inlineStr">
        <is>
          <t>VINICIUS LEAL</t>
        </is>
      </c>
      <c r="H2559" t="inlineStr">
        <is>
          <t>AMAZONENSE QUE FICOU ‘PRESO’ NA VENEZUELA FINALMENTE CONSEGUE SE CASAR EM MANAUS</t>
        </is>
      </c>
      <c r="I2559" t="inlineStr">
        <is>
          <t>O NOIVO PERDEU O PRÓPRIO CASAMENTO APÓS FRONTEIRA SER FECHADA, E RETORNOU AO BRASIL COM OS AMIGOS FAZENDO TRAVESSIA ILEGAL PELO MATO</t>
        </is>
      </c>
      <c r="J2559">
        <f>HYPERLINK("https://www.acritica.com/manaus/amazonense-que-ficou-preso-na-venezuela-finalmente-consegue-se-casar-em-manaus-1.99840", "URL")</f>
        <v/>
      </c>
      <c r="K2559">
        <f>HYPERLINK("https://raw.githubusercontent.com/marcosmapl/dataset_imigrantes/main/noticias_filtered/a_critica/venezuelanos/2016/11_dez/html/1.99840_1033.html", "HTML")</f>
        <v/>
      </c>
      <c r="L2559">
        <f>HYPERLINK("https://raw.githubusercontent.com/marcosmapl/dataset_imigrantes/main/noticias_filtered/a_critica/venezuelanos/2016/11_dez/txt/1.99840_1033.txt", "TXT")</f>
        <v/>
      </c>
    </row>
    <row r="2560">
      <c r="A2560" s="1" t="n">
        <v>2558</v>
      </c>
      <c r="B2560" t="n">
        <v>2016</v>
      </c>
      <c r="C2560" s="2" t="n">
        <v>42724.44459490741</v>
      </c>
      <c r="D2560" t="inlineStr">
        <is>
          <t>A CRITICA</t>
        </is>
      </c>
      <c r="E2560" t="inlineStr">
        <is>
          <t>VENEZUELANOS</t>
        </is>
      </c>
      <c r="F2560" t="inlineStr"/>
      <c r="G2560" t="inlineStr">
        <is>
          <t>KELLY MELO</t>
        </is>
      </c>
      <c r="H2560" t="inlineStr">
        <is>
          <t>BRASILEIROS 'PRESOS' NA VENEZUELA SÃO AUTORIZADOS A VOLTAR PARA CASA</t>
        </is>
      </c>
      <c r="I2560" t="inlineStr">
        <is>
          <t>ACORDO FOI FIRMADO NESTA SEGUNDA-FEIRA (19) E TODAS AS TARDES, UM GRUPO PODERÁ CRUZAR A FRONTEIRA ENQUANTO DURAR O FECHAMENTO</t>
        </is>
      </c>
      <c r="J2560">
        <f>HYPERLINK("https://www.acritica.com/brasileiros-presos-na-venezuela-s-o-autorizados-a-voltar-para-casa-1.99877", "URL")</f>
        <v/>
      </c>
      <c r="K2560">
        <f>HYPERLINK("https://raw.githubusercontent.com/marcosmapl/dataset_imigrantes/main/noticias_filtered/a_critica/venezuelanos/2016/11_dez/html/1.99877_630.html", "HTML")</f>
        <v/>
      </c>
      <c r="L2560">
        <f>HYPERLINK("https://raw.githubusercontent.com/marcosmapl/dataset_imigrantes/main/noticias_filtered/a_critica/venezuelanos/2016/11_dez/txt/1.99877_630.txt", "TXT")</f>
        <v/>
      </c>
    </row>
    <row r="2561">
      <c r="A2561" s="1" t="n">
        <v>2559</v>
      </c>
      <c r="B2561" t="n">
        <v>2016</v>
      </c>
      <c r="C2561" s="2" t="n">
        <v>42724.25</v>
      </c>
      <c r="D2561" t="inlineStr">
        <is>
          <t>G1</t>
        </is>
      </c>
      <c r="E2561" t="inlineStr">
        <is>
          <t>HAITIANOS</t>
        </is>
      </c>
      <c r="F2561" t="inlineStr"/>
      <c r="G2561" t="inlineStr">
        <is>
          <t>1 SC</t>
        </is>
      </c>
      <c r="H2561" t="inlineStr">
        <is>
          <t>HAITIANOS EM SC TÊM MISSA DE NATAL CELEBRADA EM FRANCÊS E CRIOULO</t>
        </is>
      </c>
      <c r="I2561" t="inlineStr"/>
      <c r="J2561">
        <f>HYPERLINK("http://g1.globo.com/sc/santa-catarina/noticia/2016/12/haitianos-em-sc-tem-missa-de-natal-celebrada-em-frances-e-crioulo.html", "URL")</f>
        <v/>
      </c>
      <c r="K2561">
        <f>HYPERLINK("https://raw.githubusercontent.com/marcosmapl/dataset_imigrantes/main/noticias_filtered/g1/haitianos/2016/11_dez/html/g1_1fe570aa-22f1-11ed-b24f-6dbe51e79fca_1735.html", "HTML")</f>
        <v/>
      </c>
      <c r="L2561">
        <f>HYPERLINK("https://raw.githubusercontent.com/marcosmapl/dataset_imigrantes/main/noticias_filtered/g1/haitianos/2016/11_dez/txt/g1_1fe570aa-22f1-11ed-b24f-6dbe51e79fca_1735.txt", "TXT")</f>
        <v/>
      </c>
    </row>
    <row r="2562">
      <c r="A2562" s="1" t="n">
        <v>2560</v>
      </c>
      <c r="B2562" t="n">
        <v>2016</v>
      </c>
      <c r="C2562" s="2" t="n">
        <v>42723.77013888889</v>
      </c>
      <c r="D2562" t="inlineStr">
        <is>
          <t>A CRITICA</t>
        </is>
      </c>
      <c r="E2562" t="inlineStr">
        <is>
          <t>VENEZUELANOS</t>
        </is>
      </c>
      <c r="F2562" t="inlineStr"/>
      <c r="G2562" t="inlineStr">
        <is>
          <t>BIANCA PAIVA –  AGÊNCIA BRASIL</t>
        </is>
      </c>
      <c r="H2562" t="inlineStr">
        <is>
          <t>BRASILEIROS RETIDOS NA VENEZUELA JÁ PODEM ATRAVESSAR A FRONTEIRA</t>
        </is>
      </c>
      <c r="I2562" t="inlineStr">
        <is>
          <t>OS TURISTAS DEVEM PROCURAR O VICE-CONSULADO DO BRASIL EM SANTA ELENA DE UAIRÉN OU LIGAR PARA A SECRETARIA EXTRAORDINÁRIA DE ASSUNTOS INTERNACIONAIS EM BOA VISTA, NO NÚMERO DDD 95 – 99146 99 77</t>
        </is>
      </c>
      <c r="J2562">
        <f>HYPERLINK("https://www.acritica.com/brasileiros-retidos-na-venezuela-ja-podem-atravessar-a-fronteira-1.99895", "URL")</f>
        <v/>
      </c>
      <c r="K2562">
        <f>HYPERLINK("https://raw.githubusercontent.com/marcosmapl/dataset_imigrantes/main/noticias_filtered/a_critica/venezuelanos/2016/11_dez/html/1.99895_145.html", "HTML")</f>
        <v/>
      </c>
      <c r="L2562">
        <f>HYPERLINK("https://raw.githubusercontent.com/marcosmapl/dataset_imigrantes/main/noticias_filtered/a_critica/venezuelanos/2016/11_dez/txt/1.99895_145.txt", "TXT")</f>
        <v/>
      </c>
    </row>
    <row r="2563">
      <c r="A2563" s="1" t="n">
        <v>2561</v>
      </c>
      <c r="B2563" t="n">
        <v>2016</v>
      </c>
      <c r="C2563" s="2" t="n">
        <v>42722.97083333333</v>
      </c>
      <c r="D2563" t="inlineStr">
        <is>
          <t>A CRITICA</t>
        </is>
      </c>
      <c r="E2563" t="inlineStr">
        <is>
          <t>VENEZUELANOS</t>
        </is>
      </c>
      <c r="F2563" t="inlineStr">
        <is>
          <t>OPINIAO</t>
        </is>
      </c>
      <c r="G2563" t="inlineStr"/>
      <c r="H2563" t="inlineStr">
        <is>
          <t>CHEGA DE LETARGIA</t>
        </is>
      </c>
      <c r="I2563" t="inlineStr"/>
      <c r="J2563">
        <f>HYPERLINK("https://www.acritica.com/opiniao/chega-de-letargia-1.232608", "URL")</f>
        <v/>
      </c>
      <c r="K2563">
        <f>HYPERLINK("https://raw.githubusercontent.com/marcosmapl/dataset_imigrantes/main/noticias_filtered/a_critica/venezuelanos/2016/11_dez/html/1.232608_487.html", "HTML")</f>
        <v/>
      </c>
      <c r="L2563">
        <f>HYPERLINK("https://raw.githubusercontent.com/marcosmapl/dataset_imigrantes/main/noticias_filtered/a_critica/venezuelanos/2016/11_dez/txt/1.232608_487.txt", "TXT")</f>
        <v/>
      </c>
    </row>
    <row r="2564">
      <c r="A2564" s="1" t="n">
        <v>2562</v>
      </c>
      <c r="B2564" t="n">
        <v>2016</v>
      </c>
      <c r="C2564" s="2" t="n">
        <v>42722.89333333333</v>
      </c>
      <c r="D2564" t="inlineStr">
        <is>
          <t>A CRITICA</t>
        </is>
      </c>
      <c r="E2564" t="inlineStr">
        <is>
          <t>VENEZUELANOS</t>
        </is>
      </c>
      <c r="F2564" t="inlineStr"/>
      <c r="G2564" t="inlineStr">
        <is>
          <t>AGÊNCIA BRASIL</t>
        </is>
      </c>
      <c r="H2564" t="inlineStr">
        <is>
          <t>PELO MENOS 50 PESSOAS PROCURARAM VICE-CONSULADO APÓS VENEZUELA FECHAR FRONTEIRA</t>
        </is>
      </c>
      <c r="I2564" t="inlineStr">
        <is>
          <t>MINISTÉRIO DAS RELAÇÕES EXTERIORES INFORMA QUE ESTÃO SENDO "REALIZADAS GESTÕES COM VISTAS A BUSCAR UMA SOLUÇÃO PARA O CASO". PARA VOLTAR AO BRASIL, AMAZONENSES CRUZARAM A FRONTEIRA PELO MATO</t>
        </is>
      </c>
      <c r="J2564">
        <f>HYPERLINK("https://www.acritica.com/pelo-menos-50-pessoas-procuraram-vice-consulado-apos-venezuela-fechar-fronteira-1.208516", "URL")</f>
        <v/>
      </c>
      <c r="K2564">
        <f>HYPERLINK("https://raw.githubusercontent.com/marcosmapl/dataset_imigrantes/main/noticias_filtered/a_critica/venezuelanos/2016/11_dez/html/1.208516_666.html", "HTML")</f>
        <v/>
      </c>
      <c r="L2564">
        <f>HYPERLINK("https://raw.githubusercontent.com/marcosmapl/dataset_imigrantes/main/noticias_filtered/a_critica/venezuelanos/2016/11_dez/txt/1.208516_666.txt", "TXT")</f>
        <v/>
      </c>
    </row>
    <row r="2565">
      <c r="A2565" s="1" t="n">
        <v>2563</v>
      </c>
      <c r="B2565" t="n">
        <v>2016</v>
      </c>
      <c r="C2565" s="2" t="n">
        <v>42722.52013888889</v>
      </c>
      <c r="D2565" t="inlineStr">
        <is>
          <t>G1</t>
        </is>
      </c>
      <c r="E2565" t="inlineStr">
        <is>
          <t>VENEZUELANOS</t>
        </is>
      </c>
      <c r="F2565" t="inlineStr"/>
      <c r="G2565" t="inlineStr">
        <is>
          <t>ELO MARQUESDO G1 RR</t>
        </is>
      </c>
      <c r="H2565" t="inlineStr">
        <is>
          <t>HOMEM É PRESO EM RR POR AGREDIR VENEZUELANA APÓS PROGRAMA SEXUAL</t>
        </is>
      </c>
      <c r="I2565" t="inlineStr"/>
      <c r="J2565">
        <f>HYPERLINK("http://g1.globo.com/rr/roraima/noticia/2016/12/homem-e-preso-em-rr-por-agredir-venezuelana-apos-programa-sexual.html", "URL")</f>
        <v/>
      </c>
      <c r="K2565">
        <f>HYPERLINK("https://raw.githubusercontent.com/marcosmapl/dataset_imigrantes/main/noticias_filtered/g1/venezuelanos/2016/11_dez/html/g1_ee68f244-2314-11ed-b24f-6dbe51e79fca_3058.html", "HTML")</f>
        <v/>
      </c>
      <c r="L2565">
        <f>HYPERLINK("https://raw.githubusercontent.com/marcosmapl/dataset_imigrantes/main/noticias_filtered/g1/venezuelanos/2016/11_dez/txt/g1_ee68f244-2314-11ed-b24f-6dbe51e79fca_3058.txt", "TXT")</f>
        <v/>
      </c>
    </row>
    <row r="2566">
      <c r="A2566" s="1" t="n">
        <v>2564</v>
      </c>
      <c r="B2566" t="n">
        <v>2016</v>
      </c>
      <c r="C2566" s="2" t="n">
        <v>42720.80486111111</v>
      </c>
      <c r="D2566" t="inlineStr">
        <is>
          <t>A CRITICA</t>
        </is>
      </c>
      <c r="E2566" t="inlineStr">
        <is>
          <t>VENEZUELANOS</t>
        </is>
      </c>
      <c r="F2566" t="inlineStr">
        <is>
          <t>MANAUS</t>
        </is>
      </c>
      <c r="G2566" t="inlineStr">
        <is>
          <t>VINICIUS LEAL</t>
        </is>
      </c>
      <c r="H2566" t="inlineStr">
        <is>
          <t>AMAZONENSES IMPEDIDOS DE SAIR DA VENEZUELA ATRAVESSAM FRONTEIRA COM BRASIL PELO MATO</t>
        </is>
      </c>
      <c r="I2566" t="inlineStr">
        <is>
          <t>UM DELES RELATOU MOMENTOS DE MEDO, CANSAÇO E SEDE. AGORA EM MANAUS, O NOIVO QUE PERDEU O CASAMENTO JÁ REMARCOU O CASÓRIO</t>
        </is>
      </c>
      <c r="J2566">
        <f>HYPERLINK("https://www.acritica.com/manaus/amazonenses-impedidos-de-sair-da-venezuela-atravessam-fronteira-com-brasil-pelo-mato-1.175456", "URL")</f>
        <v/>
      </c>
      <c r="K2566">
        <f>HYPERLINK("https://raw.githubusercontent.com/marcosmapl/dataset_imigrantes/main/noticias_filtered/a_critica/venezuelanos/2016/11_dez/html/1.175456_468.html", "HTML")</f>
        <v/>
      </c>
      <c r="L2566">
        <f>HYPERLINK("https://raw.githubusercontent.com/marcosmapl/dataset_imigrantes/main/noticias_filtered/a_critica/venezuelanos/2016/11_dez/txt/1.175456_468.txt", "TXT")</f>
        <v/>
      </c>
    </row>
    <row r="2567">
      <c r="A2567" s="1" t="n">
        <v>2565</v>
      </c>
      <c r="B2567" t="n">
        <v>2016</v>
      </c>
      <c r="C2567" s="2" t="n">
        <v>42719.64097222222</v>
      </c>
      <c r="D2567" t="inlineStr">
        <is>
          <t>A CRITICA</t>
        </is>
      </c>
      <c r="E2567" t="inlineStr">
        <is>
          <t>VENEZUELANOS</t>
        </is>
      </c>
      <c r="F2567" t="inlineStr">
        <is>
          <t>MANAUS</t>
        </is>
      </c>
      <c r="G2567" t="inlineStr">
        <is>
          <t>ISABELLE VALOIS</t>
        </is>
      </c>
      <c r="H2567" t="inlineStr">
        <is>
          <t>FRONTEIRA COM VENEZUELA FECHA E AMAZONENSE PERDE A PRÓPRIA FESTA DE CASAMENTO</t>
        </is>
      </c>
      <c r="I2567" t="inlineStr">
        <is>
          <t>AMAZONENSE ESTAVA EM FÉRIAS NA VENEZUELA E NÃO CONSEGUIU VOLTAR AO PAÍS GRAÇAS AO BLOQUEIO; FESTA SERIA REALIZADA NA TARDE DE HOJE, EM MANAUS</t>
        </is>
      </c>
      <c r="J2567">
        <f>HYPERLINK("https://www.acritica.com/manaus/fronteira-com-venezuela-fecha-e-amazonense-perde-a-propria-festa-de-casamento-1.175183", "URL")</f>
        <v/>
      </c>
      <c r="K2567">
        <f>HYPERLINK("https://raw.githubusercontent.com/marcosmapl/dataset_imigrantes/main/noticias_filtered/a_critica/venezuelanos/2016/11_dez/html/1.175183_1243.html", "HTML")</f>
        <v/>
      </c>
      <c r="L2567">
        <f>HYPERLINK("https://raw.githubusercontent.com/marcosmapl/dataset_imigrantes/main/noticias_filtered/a_critica/venezuelanos/2016/11_dez/txt/1.175183_1243.txt", "TXT")</f>
        <v/>
      </c>
    </row>
    <row r="2568">
      <c r="A2568" s="1" t="n">
        <v>2566</v>
      </c>
      <c r="B2568" t="n">
        <v>2016</v>
      </c>
      <c r="C2568" s="2" t="n">
        <v>42718.59605324074</v>
      </c>
      <c r="D2568" t="inlineStr">
        <is>
          <t>A CRITICA</t>
        </is>
      </c>
      <c r="E2568" t="inlineStr">
        <is>
          <t>VENEZUELANOS</t>
        </is>
      </c>
      <c r="F2568" t="inlineStr"/>
      <c r="G2568" t="inlineStr">
        <is>
          <t>AGÊNCIA BRASIL</t>
        </is>
      </c>
      <c r="H2568" t="inlineStr">
        <is>
          <t>VENEZUELA FECHA FRONTEIRAS COM O BRASIL E A COLÔMBIA POR 72 HORAS</t>
        </is>
      </c>
      <c r="I2568" t="inlineStr">
        <is>
          <t>NICOLÁS MADURO ALEGOU QUE O DECRETO  DETERMINANDO O FECHAMENTO DA FRONTEIRA É PARA COMBATER AS MÁFIAS QUE ESTÃO CONTRABANDEANDO A MOEDA NACIONAL</t>
        </is>
      </c>
      <c r="J2568">
        <f>HYPERLINK("https://www.acritica.com/venezuela-fecha-fronteiras-com-o-brasil-e-a-colombia-por-72-horas-1.174880", "URL")</f>
        <v/>
      </c>
      <c r="K2568">
        <f>HYPERLINK("https://raw.githubusercontent.com/marcosmapl/dataset_imigrantes/main/noticias_filtered/a_critica/venezuelanos/2016/11_dez/html/1.174880_93.html", "HTML")</f>
        <v/>
      </c>
      <c r="L2568">
        <f>HYPERLINK("https://raw.githubusercontent.com/marcosmapl/dataset_imigrantes/main/noticias_filtered/a_critica/venezuelanos/2016/11_dez/txt/1.174880_93.txt", "TXT")</f>
        <v/>
      </c>
    </row>
    <row r="2569">
      <c r="A2569" s="1" t="n">
        <v>2567</v>
      </c>
      <c r="B2569" t="n">
        <v>2016</v>
      </c>
      <c r="C2569" s="2" t="n">
        <v>42714.63194444445</v>
      </c>
      <c r="D2569" t="inlineStr">
        <is>
          <t>PORTAL AMAZONIA</t>
        </is>
      </c>
      <c r="E2569" t="inlineStr">
        <is>
          <t>VENEZUELANOS</t>
        </is>
      </c>
      <c r="F2569" t="inlineStr">
        <is>
          <t>CIDADES</t>
        </is>
      </c>
      <c r="G2569" t="inlineStr">
        <is>
          <t>REDAÇÃO</t>
        </is>
      </c>
      <c r="H2569" t="inlineStr">
        <is>
          <t>JUSTIÇA SUSPENDE DEPORTAÇÃO DE VENEZUELANOS EM RORAIMA</t>
        </is>
      </c>
      <c r="I2569" t="inlineStr">
        <is>
          <t>FOTO: PRICIELE VENTURINI/REDE AMAZÔNICA EM RORAIMAA DEPORTAÇÃO DE 450 VENEZUELANOS DO ESTADO DE RORAIMA FOI INTERROMPIDA NESTA SEXTA-FEIRA (9). A JUSTIÇA FEDERAL CONCEDEU LIMINAR, PUBLICADA ÀS 19H24, QUE IMPEDIA A DEPORTAÇÃO DOS IMIGRANTES QUE V</t>
        </is>
      </c>
      <c r="J2569">
        <f>HYPERLINK("https://portalamazonia.com/noticias/cidades/justica-suspende-deportacao-de-venezuelanos-em-roraima", "URL")</f>
        <v/>
      </c>
      <c r="K2569">
        <f>HYPERLINK("https://raw.githubusercontent.com/marcosmapl/dataset_imigrantes/main/noticias_filtered/portal_amazonia/venezuelanos/2016/11_dez/html/5600.5600_1562.html", "HTML")</f>
        <v/>
      </c>
      <c r="L2569">
        <f>HYPERLINK("https://raw.githubusercontent.com/marcosmapl/dataset_imigrantes/main/noticias_filtered/portal_amazonia/venezuelanos/2016/11_dez/txt/5600.5600_1562.txt", "TXT")</f>
        <v/>
      </c>
    </row>
    <row r="2570">
      <c r="A2570" s="1" t="n">
        <v>2568</v>
      </c>
      <c r="B2570" t="n">
        <v>2016</v>
      </c>
      <c r="C2570" s="2" t="n">
        <v>42713.91111111111</v>
      </c>
      <c r="D2570" t="inlineStr">
        <is>
          <t>A CRITICA</t>
        </is>
      </c>
      <c r="E2570" t="inlineStr">
        <is>
          <t>VENEZUELANOS</t>
        </is>
      </c>
      <c r="F2570" t="inlineStr"/>
      <c r="G2570" t="inlineStr">
        <is>
          <t>ALINE LEAL (AGÊNCIA BRASIL)</t>
        </is>
      </c>
      <c r="H2570" t="inlineStr">
        <is>
          <t>PF DE RORAIMA DEPORTA 450 VENEZUELANOS EM SITUAÇÃO IRREGULAR NO BRASIL</t>
        </is>
      </c>
      <c r="I2570" t="inlineStr">
        <is>
          <t>A MAIORIA DELES VIVIA NO CENTRO DA CIDADE, PRÓXIMO À FEIRA DO PASSARÃO, ONDE PEDIAM ESMOLAS, SEGUNDO A PF</t>
        </is>
      </c>
      <c r="J2570">
        <f>HYPERLINK("https://www.acritica.com/pf-de-roraima-deporta-450-venezuelanos-em-situac-o-irregular-no-brasil-1.174279", "URL")</f>
        <v/>
      </c>
      <c r="K2570">
        <f>HYPERLINK("https://raw.githubusercontent.com/marcosmapl/dataset_imigrantes/main/noticias_filtered/a_critica/venezuelanos/2016/11_dez/html/1.174279_1282.html", "HTML")</f>
        <v/>
      </c>
      <c r="L2570">
        <f>HYPERLINK("https://raw.githubusercontent.com/marcosmapl/dataset_imigrantes/main/noticias_filtered/a_critica/venezuelanos/2016/11_dez/txt/1.174279_1282.txt", "TXT")</f>
        <v/>
      </c>
    </row>
    <row r="2571">
      <c r="A2571" s="1" t="n">
        <v>2569</v>
      </c>
      <c r="B2571" t="n">
        <v>2016</v>
      </c>
      <c r="C2571" s="2" t="n">
        <v>42712.96458333333</v>
      </c>
      <c r="D2571" t="inlineStr">
        <is>
          <t>PORTAL AMAZONIA</t>
        </is>
      </c>
      <c r="E2571" t="inlineStr">
        <is>
          <t>VENEZUELANOS</t>
        </is>
      </c>
      <c r="F2571" t="inlineStr">
        <is>
          <t>CIDADES</t>
        </is>
      </c>
      <c r="G2571" t="inlineStr">
        <is>
          <t>REDAÇÃO</t>
        </is>
      </c>
      <c r="H2571" t="inlineStr">
        <is>
          <t>RORAIMA DECRETA EMERGÊNCIA COM AUMENTO DE FLUXO DE VENEZUELANOS</t>
        </is>
      </c>
      <c r="I2571" t="inlineStr">
        <is>
          <t>O FLUXO INTENSO DE VENEZUELANOS EM RORAIMA LEVOU O GOVERNO DO ESTADO A DECRETAR SITUAÇÃO DE EMERGÊNCIA EM SAÚDE PÚBLICA DE IMPORTÂNCIA NACIONAL NOS MUNICÍPIOS DE PACARAIMA E BOA VISTA. A REGIÃO FAZ FRONTEIRA COM A VENEZUELA, QUE VIVE UMA FORTE CRISE</t>
        </is>
      </c>
      <c r="J2571">
        <f>HYPERLINK("https://portalamazonia.com/noticias/cidades/roraima-decreta-emergencia-com-aumento-de-fluxo-de-venezuelanos", "URL")</f>
        <v/>
      </c>
      <c r="K2571">
        <f>HYPERLINK("https://raw.githubusercontent.com/marcosmapl/dataset_imigrantes/main/noticias_filtered/portal_amazonia/venezuelanos/2016/11_dez/html/5541.5541_1571.html", "HTML")</f>
        <v/>
      </c>
      <c r="L2571">
        <f>HYPERLINK("https://raw.githubusercontent.com/marcosmapl/dataset_imigrantes/main/noticias_filtered/portal_amazonia/venezuelanos/2016/11_dez/txt/5541.5541_1571.txt", "TXT")</f>
        <v/>
      </c>
    </row>
    <row r="2572">
      <c r="A2572" s="1" t="n">
        <v>2570</v>
      </c>
      <c r="B2572" t="n">
        <v>2016</v>
      </c>
      <c r="C2572" s="2" t="n">
        <v>42712.90953703703</v>
      </c>
      <c r="D2572" t="inlineStr">
        <is>
          <t>A CRITICA</t>
        </is>
      </c>
      <c r="E2572" t="inlineStr">
        <is>
          <t>VENEZUELANOS</t>
        </is>
      </c>
      <c r="F2572" t="inlineStr"/>
      <c r="G2572" t="inlineStr">
        <is>
          <t>DÉBORA BRITO (AGÊNCIA BRASIL)</t>
        </is>
      </c>
      <c r="H2572" t="inlineStr">
        <is>
          <t>GOVERNO DE RORAIMA DECRETA EMERGÊNCIA COM AUMENTO DE FLUXO DE VENEZUELANOS</t>
        </is>
      </c>
      <c r="I2572" t="inlineStr">
        <is>
          <t>REGIÃO DE PACARAIMA E BOA VISTA FAZ FRONTEIRA COM A VENEZUELA E RECEBEU CERCA DE 30 MIL ESTRANGEIROS NOS ÚLTIMOS ANOS. AGENDAMENTOS DE PEDIDO DE REFÚGIO JÁ CHEGA AO ANO DE 2018</t>
        </is>
      </c>
      <c r="J2572">
        <f>HYPERLINK("https://www.acritica.com/governo-de-roraima-decreta-emergencia-com-aumento-de-fluxo-de-venezuelanos-1.174008", "URL")</f>
        <v/>
      </c>
      <c r="K2572">
        <f>HYPERLINK("https://raw.githubusercontent.com/marcosmapl/dataset_imigrantes/main/noticias_filtered/a_critica/venezuelanos/2016/11_dez/html/1.174008_710.html", "HTML")</f>
        <v/>
      </c>
      <c r="L2572">
        <f>HYPERLINK("https://raw.githubusercontent.com/marcosmapl/dataset_imigrantes/main/noticias_filtered/a_critica/venezuelanos/2016/11_dez/txt/1.174008_710.txt", "TXT")</f>
        <v/>
      </c>
    </row>
    <row r="2573">
      <c r="A2573" s="1" t="n">
        <v>2571</v>
      </c>
      <c r="B2573" t="n">
        <v>2016</v>
      </c>
      <c r="C2573" s="2" t="n">
        <v>42711.67638888889</v>
      </c>
      <c r="D2573" t="inlineStr">
        <is>
          <t>G1</t>
        </is>
      </c>
      <c r="E2573" t="inlineStr">
        <is>
          <t>HAITIANOS</t>
        </is>
      </c>
      <c r="F2573" t="inlineStr"/>
      <c r="G2573" t="inlineStr">
        <is>
          <t>1 SC</t>
        </is>
      </c>
      <c r="H2573" t="inlineStr">
        <is>
          <t>CINEMA DO CIC EXIBE MOSTRA GRATUITA DO CINEASTA HAITIANO RAOUL PECK</t>
        </is>
      </c>
      <c r="I2573" t="inlineStr"/>
      <c r="J2573">
        <f>HYPERLINK("http://g1.globo.com/sc/santa-catarina/noticia/2016/12/cinema-do-cic-exibe-mostra-gratuita-do-cineasta-haitiano-raoul-peck.html", "URL")</f>
        <v/>
      </c>
      <c r="K2573">
        <f>HYPERLINK("https://raw.githubusercontent.com/marcosmapl/dataset_imigrantes/main/noticias_filtered/g1/haitianos/2016/11_dez/html/g1_a922ee6e-2310-11ed-b24f-6dbe51e79fca_2868.html", "HTML")</f>
        <v/>
      </c>
      <c r="L2573">
        <f>HYPERLINK("https://raw.githubusercontent.com/marcosmapl/dataset_imigrantes/main/noticias_filtered/g1/haitianos/2016/11_dez/txt/g1_a922ee6e-2310-11ed-b24f-6dbe51e79fca_2868.txt", "TXT")</f>
        <v/>
      </c>
    </row>
    <row r="2574">
      <c r="A2574" s="1" t="n">
        <v>2572</v>
      </c>
      <c r="B2574" t="n">
        <v>2016</v>
      </c>
      <c r="C2574" s="2" t="n">
        <v>42709.72291666667</v>
      </c>
      <c r="D2574" t="inlineStr">
        <is>
          <t>A CRITICA</t>
        </is>
      </c>
      <c r="E2574" t="inlineStr">
        <is>
          <t>HAITIANOS</t>
        </is>
      </c>
      <c r="F2574" t="inlineStr">
        <is>
          <t>ESPORTES</t>
        </is>
      </c>
      <c r="G2574" t="inlineStr">
        <is>
          <t>ACRÍTICA.COM</t>
        </is>
      </c>
      <c r="H2574" t="inlineStr">
        <is>
          <t>ICBEU MANAUS REALIZA CORRIDA SOLIDÁRIA NA VILA OLÍMPICA EM PROL DO HAITI NESTE DOMINGO (11)</t>
        </is>
      </c>
      <c r="I2574" t="inlineStr">
        <is>
          <t>AS INSCRIÇÕES DEVEM SER FEITAS DE FORMA PRESENCIAL NA SEDE DO ICBEU MANAUS ENTRE 15 DE NOVEMBRO A 7 DE DEZEMBRO, A R$ 25 (DE 4 A 17 ANOS) E A R$ 50 (+ 18 ANOS)</t>
        </is>
      </c>
      <c r="J2574">
        <f>HYPERLINK("https://www.acritica.com/esportes/icbeu-manaus-realiza-corrida-solidaria-na-vila-olimpica-em-prol-do-haiti-neste-domingo-11-1.173351", "URL")</f>
        <v/>
      </c>
      <c r="K2574">
        <f>HYPERLINK("https://raw.githubusercontent.com/marcosmapl/dataset_imigrantes/main/noticias_filtered/a_critica/haitianos/2016/11_dez/html/1.173351_117.html", "HTML")</f>
        <v/>
      </c>
      <c r="L2574">
        <f>HYPERLINK("https://raw.githubusercontent.com/marcosmapl/dataset_imigrantes/main/noticias_filtered/a_critica/haitianos/2016/11_dez/txt/1.173351_117.txt", "TXT")</f>
        <v/>
      </c>
    </row>
    <row r="2575">
      <c r="A2575" s="1" t="n">
        <v>2573</v>
      </c>
      <c r="B2575" t="n">
        <v>2016</v>
      </c>
      <c r="C2575" s="2" t="n">
        <v>42706.63375</v>
      </c>
      <c r="D2575" t="inlineStr">
        <is>
          <t>A CRITICA</t>
        </is>
      </c>
      <c r="E2575" t="inlineStr">
        <is>
          <t>VENEZUELANOS</t>
        </is>
      </c>
      <c r="F2575" t="inlineStr">
        <is>
          <t>ESPORTES</t>
        </is>
      </c>
      <c r="G2575" t="inlineStr">
        <is>
          <t>REUTERS</t>
        </is>
      </c>
      <c r="H2575" t="inlineStr">
        <is>
          <t>VÍTIMAS DO VOO DA CHAPECOENSE COMEÇAM A SER REPATRIADAS</t>
        </is>
      </c>
      <c r="I2575" t="inlineStr">
        <is>
          <t>COMBOIO COM OS BRASILEIROS MORTOS IRÁ PARTIR DE UMA CASA FUNERÁRIA DE MEDELLÍN AINDA NESTA SEXTA-FEIRA E PERCORRER UMA ESTRADA MONTANHOSA RUMO AO AEROPORTO DE RIONEGRO, DE ONDE OS CORPOS SERÃO ENVIADOS DE VOLTA AO BRASIL.</t>
        </is>
      </c>
      <c r="J2575">
        <f>HYPERLINK("https://www.acritica.com/esportes/vitimas-do-voo-da-chapecoense-comecam-a-ser-repatriadas-1.172394", "URL")</f>
        <v/>
      </c>
      <c r="K2575">
        <f>HYPERLINK("https://raw.githubusercontent.com/marcosmapl/dataset_imigrantes/main/noticias_filtered/a_critica/venezuelanos/2016/11_dez/html/1.172394_1019.html", "HTML")</f>
        <v/>
      </c>
      <c r="L2575">
        <f>HYPERLINK("https://raw.githubusercontent.com/marcosmapl/dataset_imigrantes/main/noticias_filtered/a_critica/venezuelanos/2016/11_dez/txt/1.172394_1019.txt", "TXT")</f>
        <v/>
      </c>
    </row>
    <row r="2576">
      <c r="A2576" s="1" t="n">
        <v>2574</v>
      </c>
      <c r="B2576" t="n">
        <v>2016</v>
      </c>
      <c r="C2576" s="2" t="n">
        <v>42706.49166666667</v>
      </c>
      <c r="D2576" t="inlineStr">
        <is>
          <t>PORTAL AMAZONIA</t>
        </is>
      </c>
      <c r="E2576" t="inlineStr">
        <is>
          <t>VENEZUELANOS</t>
        </is>
      </c>
      <c r="F2576" t="inlineStr">
        <is>
          <t>CIDADES</t>
        </is>
      </c>
      <c r="G2576" t="inlineStr">
        <is>
          <t>REDAÇÃO</t>
        </is>
      </c>
      <c r="H2576" t="inlineStr">
        <is>
          <t>MP PEDE APREENSÃO DE ADOLESCENTES VENEZUELANOS NAS RUAS DE BOA VISTA</t>
        </is>
      </c>
      <c r="I2576" t="inlineStr">
        <is>
          <t>A PROMOTORIA DE JUSTIÇA DE DEFESA DA INFÂNCIA E JUVENTUDE DO MINISTÉRIO PÚBLICO DO ESTADO DE RORAIMA (MPE-RR) AJUIZOU, NESTA QUARTA-FEIRA (30), UMA AÇÃO CIVIL NA JUSTIÇA PEDINDO O RECOLHIMENTO DE JOVENS VENEZUELANOS EXPLORADOS NAS RUAS DE BOA VI</t>
        </is>
      </c>
      <c r="J2576">
        <f>HYPERLINK("https://portalamazonia.com/noticias/cidades/mp-pede-apreensao-de-adolescentes-venezuelanos-nas-ruas-de-boa-vista", "URL")</f>
        <v/>
      </c>
      <c r="K2576">
        <f>HYPERLINK("https://raw.githubusercontent.com/marcosmapl/dataset_imigrantes/main/noticias_filtered/portal_amazonia/venezuelanos/2016/11_dez/html/5260.5260_1605.html", "HTML")</f>
        <v/>
      </c>
      <c r="L2576">
        <f>HYPERLINK("https://raw.githubusercontent.com/marcosmapl/dataset_imigrantes/main/noticias_filtered/portal_amazonia/venezuelanos/2016/11_dez/txt/5260.5260_1605.txt", "TXT")</f>
        <v/>
      </c>
    </row>
    <row r="2577">
      <c r="A2577" s="1" t="n">
        <v>2575</v>
      </c>
      <c r="B2577" t="n">
        <v>2016</v>
      </c>
      <c r="C2577" s="2" t="n">
        <v>42702.83263888889</v>
      </c>
      <c r="D2577" t="inlineStr">
        <is>
          <t>A CRITICA</t>
        </is>
      </c>
      <c r="E2577" t="inlineStr">
        <is>
          <t>VENEZUELANOS</t>
        </is>
      </c>
      <c r="F2577" t="inlineStr">
        <is>
          <t>ESPORTES</t>
        </is>
      </c>
      <c r="G2577" t="inlineStr">
        <is>
          <t>ACRITICA.COM*</t>
        </is>
      </c>
      <c r="H2577" t="inlineStr">
        <is>
          <t>GARANTIDO NA FASE DE GRUPOS, FLA MIRA POSSÍVEIS RIVAIS NA 'LIBERTA'</t>
        </is>
      </c>
      <c r="I2577" t="inlineStr">
        <is>
          <t>VITÓRIA SOBRE O SANTOS MARCOU O PRIMEIRO TRIUNFO DO RUBRO-NEGRO NO RETORNO AO MARACANÃ E TAMBÉM COLOCOU O TIME DA GÁVEA DIRETO NA FASE DE GRUPOS DA TAÇA LIBERTADORES DA AMÉRICA</t>
        </is>
      </c>
      <c r="J2577">
        <f>HYPERLINK("https://www.acritica.com/esportes/garantido-na-fase-de-grupos-fla-mira-possiveis-rivais-na-liberta-1.171595", "URL")</f>
        <v/>
      </c>
      <c r="K2577">
        <f>HYPERLINK("https://raw.githubusercontent.com/marcosmapl/dataset_imigrantes/main/noticias_filtered/a_critica/venezuelanos/2016/10_nov/html/1.171595_267.html", "HTML")</f>
        <v/>
      </c>
      <c r="L2577">
        <f>HYPERLINK("https://raw.githubusercontent.com/marcosmapl/dataset_imigrantes/main/noticias_filtered/a_critica/venezuelanos/2016/10_nov/txt/1.171595_267.txt", "TXT")</f>
        <v/>
      </c>
    </row>
    <row r="2578">
      <c r="A2578" s="1" t="n">
        <v>2576</v>
      </c>
      <c r="B2578" t="n">
        <v>2016</v>
      </c>
      <c r="C2578" s="2" t="n">
        <v>42698.73680555556</v>
      </c>
      <c r="D2578" t="inlineStr">
        <is>
          <t>A CRITICA</t>
        </is>
      </c>
      <c r="E2578" t="inlineStr">
        <is>
          <t>HAITIANOS</t>
        </is>
      </c>
      <c r="F2578" t="inlineStr">
        <is>
          <t>ESPORTES</t>
        </is>
      </c>
      <c r="G2578" t="inlineStr">
        <is>
          <t>ACRÍTICA.COM</t>
        </is>
      </c>
      <c r="H2578" t="inlineStr">
        <is>
          <t>COM OUTRO TRICOLOR DE AÇO PELA FRENTE, FAST CONHECE ADVERSÁRIOS DA COPINHA</t>
        </is>
      </c>
      <c r="I2578" t="inlineStr">
        <is>
          <t>REPRESENTANTE DO AMAZONAS ESTÁ NO GRUPO 21 DA COMPETIÇÃO DE FUTEBOL DE BASE MAIS IMPORTANTE DO BRASIL; ROLO COMPRESSOR ENCARA O BAHIA, SÃO BERNARDO-SP E TRINDADE-GO NA PRIMEIRA FASE DO TORNEIO</t>
        </is>
      </c>
      <c r="J2578">
        <f>HYPERLINK("https://www.acritica.com/esportes/com-outro-tricolor-de-aco-pela-frente-fast-conhece-adversarios-da-copinha-1.170908", "URL")</f>
        <v/>
      </c>
      <c r="K2578">
        <f>HYPERLINK("https://raw.githubusercontent.com/marcosmapl/dataset_imigrantes/main/noticias_filtered/a_critica/haitianos/2016/10_nov/html/1.170908_306.html", "HTML")</f>
        <v/>
      </c>
      <c r="L2578">
        <f>HYPERLINK("https://raw.githubusercontent.com/marcosmapl/dataset_imigrantes/main/noticias_filtered/a_critica/haitianos/2016/10_nov/txt/1.170908_306.txt", "TXT")</f>
        <v/>
      </c>
    </row>
    <row r="2579">
      <c r="A2579" s="1" t="n">
        <v>2577</v>
      </c>
      <c r="B2579" t="n">
        <v>2016</v>
      </c>
      <c r="C2579" s="2" t="n">
        <v>42691.66850694444</v>
      </c>
      <c r="D2579" t="inlineStr">
        <is>
          <t>A CRITICA</t>
        </is>
      </c>
      <c r="E2579" t="inlineStr">
        <is>
          <t>VENEZUELANOS</t>
        </is>
      </c>
      <c r="F2579" t="inlineStr">
        <is>
          <t>ENTRETENIMENTO</t>
        </is>
      </c>
      <c r="G2579" t="inlineStr">
        <is>
          <t>ACRÍTICA.COM</t>
        </is>
      </c>
      <c r="H2579" t="inlineStr">
        <is>
          <t>PREMIADO FILME VENEZUELANO ‘AZÚ, ALMA DE PRINCESA’ É EXIBIDO NO GEBES MEDEIROS</t>
        </is>
      </c>
      <c r="I2579" t="inlineStr">
        <is>
          <t>A OBRA RETRATA UM TEMA QUE PARECE ESQUECIDO, MAS QUE ESTÁ PRESENTE NA REALIDADE DE VÁRIOS PAÍSES: A ESCRAVIDÃO</t>
        </is>
      </c>
      <c r="J2579">
        <f>HYPERLINK("https://www.acritica.com/entretenimento/premiado-filme-venezuelano-azu-alma-de-princesa-e-exibido-no-gebes-medeiros-1.102515", "URL")</f>
        <v/>
      </c>
      <c r="K2579">
        <f>HYPERLINK("https://raw.githubusercontent.com/marcosmapl/dataset_imigrantes/main/noticias_filtered/a_critica/venezuelanos/2016/10_nov/html/1.102515_830.html", "HTML")</f>
        <v/>
      </c>
      <c r="L2579">
        <f>HYPERLINK("https://raw.githubusercontent.com/marcosmapl/dataset_imigrantes/main/noticias_filtered/a_critica/venezuelanos/2016/10_nov/txt/1.102515_830.txt", "TXT")</f>
        <v/>
      </c>
    </row>
    <row r="2580">
      <c r="A2580" s="1" t="n">
        <v>2578</v>
      </c>
      <c r="B2580" t="n">
        <v>2016</v>
      </c>
      <c r="C2580" s="2" t="n">
        <v>42689.70965277778</v>
      </c>
      <c r="D2580" t="inlineStr">
        <is>
          <t>A CRITICA</t>
        </is>
      </c>
      <c r="E2580" t="inlineStr">
        <is>
          <t>VENEZUELANOS</t>
        </is>
      </c>
      <c r="F2580" t="inlineStr">
        <is>
          <t>ESPORTES</t>
        </is>
      </c>
      <c r="G2580" t="inlineStr">
        <is>
          <t>JÉSSICA SANTOS</t>
        </is>
      </c>
      <c r="H2580" t="inlineStr">
        <is>
          <t>PEDRO HENRIQUE GANHA O OURO NO SUL-AMERICANO DE ATLETISMO SUB-18</t>
        </is>
      </c>
      <c r="I2580" t="inlineStr">
        <is>
          <t>O ATLETA AMAZONENSE PEDRO HENRIQUE NUNES VENCEU A PROVA DE LANÇAMENTO DE DARDO, NO SUL-AMERICANO SUB-18, OCORRIDO EM CONCÓRDIA, NA ARGENTINA</t>
        </is>
      </c>
      <c r="J2580">
        <f>HYPERLINK("https://www.acritica.com/esportes/pedro-henrique-ganha-o-ouro-no-sul-americano-de-atletismo-sub-18-1.208693", "URL")</f>
        <v/>
      </c>
      <c r="K2580">
        <f>HYPERLINK("https://raw.githubusercontent.com/marcosmapl/dataset_imigrantes/main/noticias_filtered/a_critica/venezuelanos/2016/10_nov/html/1.208693_553.html", "HTML")</f>
        <v/>
      </c>
      <c r="L2580">
        <f>HYPERLINK("https://raw.githubusercontent.com/marcosmapl/dataset_imigrantes/main/noticias_filtered/a_critica/venezuelanos/2016/10_nov/txt/1.208693_553.txt", "TXT")</f>
        <v/>
      </c>
    </row>
    <row r="2581">
      <c r="A2581" s="1" t="n">
        <v>2579</v>
      </c>
      <c r="B2581" t="n">
        <v>2016</v>
      </c>
      <c r="C2581" s="2" t="n">
        <v>42687.50069444445</v>
      </c>
      <c r="D2581" t="inlineStr">
        <is>
          <t>G1</t>
        </is>
      </c>
      <c r="E2581" t="inlineStr">
        <is>
          <t>VENEZUELANOS</t>
        </is>
      </c>
      <c r="F2581" t="inlineStr"/>
      <c r="G2581" t="inlineStr">
        <is>
          <t>1 RR</t>
        </is>
      </c>
      <c r="H2581" t="inlineStr">
        <is>
          <t>VENEZUELANA É DETIDA POR FURTAR R$ 278 EM PRODUTOS DE SUPERMERCADO EM RR</t>
        </is>
      </c>
      <c r="I2581" t="inlineStr"/>
      <c r="J2581">
        <f>HYPERLINK("http://g1.globo.com/rr/roraima/noticia/2016/11/venezuelana-e-detida-por-furtar-r-278-em-produtos-de-supermercado-em-rr.html", "URL")</f>
        <v/>
      </c>
      <c r="K2581">
        <f>HYPERLINK("https://raw.githubusercontent.com/marcosmapl/dataset_imigrantes/main/noticias_filtered/g1/venezuelanos/2016/10_nov/html/g1_ae2d6800-2309-11ed-b24f-6dbe51e79fca_2457.html", "HTML")</f>
        <v/>
      </c>
      <c r="L2581">
        <f>HYPERLINK("https://raw.githubusercontent.com/marcosmapl/dataset_imigrantes/main/noticias_filtered/g1/venezuelanos/2016/10_nov/txt/g1_ae2d6800-2309-11ed-b24f-6dbe51e79fca_2457.txt", "TXT")</f>
        <v/>
      </c>
    </row>
    <row r="2582">
      <c r="A2582" s="1" t="n">
        <v>2580</v>
      </c>
      <c r="B2582" t="n">
        <v>2016</v>
      </c>
      <c r="C2582" s="2" t="n">
        <v>42686.5528587963</v>
      </c>
      <c r="D2582" t="inlineStr">
        <is>
          <t>A CRITICA</t>
        </is>
      </c>
      <c r="E2582" t="inlineStr">
        <is>
          <t>HAITIANOS</t>
        </is>
      </c>
      <c r="F2582" t="inlineStr"/>
      <c r="G2582" t="inlineStr">
        <is>
          <t>IVAN RICHARD ESPOSITO - AGÊNCIA BRASIL</t>
        </is>
      </c>
      <c r="H2582" t="inlineStr">
        <is>
          <t>MINISTÉRIO DA JUSTIÇA PRORROGA POR SEIS MESES O PRAZO PARA REGISTRO DE HAITIANOS NO BRASIL</t>
        </is>
      </c>
      <c r="I2582" t="inlineStr">
        <is>
          <t>COM A PRORROGAÇÃO, MAIS DE 43 MIL HAITIANOS QUE INGRESSARAM NO BRASIL APÓS O TERREMOTO QUE DEVASTOU O PAÍS CARIBENHO EM 2010, TÊM, AGORA, ATÉ 11 DE MAIO DE 2017 PARA SE APRESENTAR À POLÍCIA FEDERAL E REGULARIZAR A SITUAÇÃO</t>
        </is>
      </c>
      <c r="J2582">
        <f>HYPERLINK("https://www.acritica.com/ministerio-da-justica-prorroga-por-seis-meses-o-prazo-para-registro-de-haitianos-no-brasil-1.101974", "URL")</f>
        <v/>
      </c>
      <c r="K2582">
        <f>HYPERLINK("https://raw.githubusercontent.com/marcosmapl/dataset_imigrantes/main/noticias_filtered/a_critica/haitianos/2016/10_nov/html/1.101974_157.html", "HTML")</f>
        <v/>
      </c>
      <c r="L2582">
        <f>HYPERLINK("https://raw.githubusercontent.com/marcosmapl/dataset_imigrantes/main/noticias_filtered/a_critica/haitianos/2016/10_nov/txt/1.101974_157.txt", "TXT")</f>
        <v/>
      </c>
    </row>
    <row r="2583">
      <c r="A2583" s="1" t="n">
        <v>2581</v>
      </c>
      <c r="B2583" t="n">
        <v>2016</v>
      </c>
      <c r="C2583" s="2" t="n">
        <v>42683.72765046296</v>
      </c>
      <c r="D2583" t="inlineStr">
        <is>
          <t>A CRITICA</t>
        </is>
      </c>
      <c r="E2583" t="inlineStr">
        <is>
          <t>HAITIANOS</t>
        </is>
      </c>
      <c r="F2583" t="inlineStr"/>
      <c r="G2583" t="inlineStr">
        <is>
          <t>ALEX RODRIGUES – AGÊNCIA BRASIL</t>
        </is>
      </c>
      <c r="H2583" t="inlineStr">
        <is>
          <t>BRASIL E HAITI ASSINAM ACORDO PARA A CONSTRUÇÃO DE ESCOLA TÉCNICA</t>
        </is>
      </c>
      <c r="I2583" t="inlineStr">
        <is>
          <t>O OBJETIVO É CONTRIBUIR PARA FORMAR JOVENS PROFISSIONAIS NAS ÁREAS DE ENGENHARIA CIVIL, COSTURA, ELETRICIDADE PREDIAL, CARPINTARIA, OPERAÇÃO TURÍSTICA E MECÂNICA DE AUTOMOTIVOS E MOTOCICLETAS, QUALIFICANDO A FORÇA DE TRABALHO LOCAL</t>
        </is>
      </c>
      <c r="J2583">
        <f>HYPERLINK("https://www.acritica.com/brasil-e-haiti-assinam-acordo-para-a-construc-o-de-escola-tecnica-1.102167", "URL")</f>
        <v/>
      </c>
      <c r="K2583">
        <f>HYPERLINK("https://raw.githubusercontent.com/marcosmapl/dataset_imigrantes/main/noticias_filtered/a_critica/haitianos/2016/10_nov/html/1.102167_1123.html", "HTML")</f>
        <v/>
      </c>
      <c r="L2583">
        <f>HYPERLINK("https://raw.githubusercontent.com/marcosmapl/dataset_imigrantes/main/noticias_filtered/a_critica/haitianos/2016/10_nov/txt/1.102167_1123.txt", "TXT")</f>
        <v/>
      </c>
    </row>
    <row r="2584">
      <c r="A2584" s="1" t="n">
        <v>2582</v>
      </c>
      <c r="B2584" t="n">
        <v>2016</v>
      </c>
      <c r="C2584" s="2" t="n">
        <v>42683.6183912037</v>
      </c>
      <c r="D2584" t="inlineStr">
        <is>
          <t>A CRITICA</t>
        </is>
      </c>
      <c r="E2584" t="inlineStr">
        <is>
          <t>VENEZUELANOS</t>
        </is>
      </c>
      <c r="F2584" t="inlineStr">
        <is>
          <t>ENTRETENIMENTO</t>
        </is>
      </c>
      <c r="G2584" t="inlineStr">
        <is>
          <t>ACRITICA.COM*</t>
        </is>
      </c>
      <c r="H2584" t="inlineStr">
        <is>
          <t>EXPOSIÇÃO GRATUITA NO PALÁCIO DA JUSTIÇA CELEBRA OS 120 ANOS DO TEATRO AMAZONAS</t>
        </is>
      </c>
      <c r="I2584" t="inlineStr">
        <is>
          <t>BATIZADA DE 'FRAGMENTOS', EXPOSIÇÃO É PROMOVIDA PELO GRUPO FOTÓGRAFOS DA MADRUGADA, QUE BUSCOU DAR UMA ABORDAGEM DIFERENCIADA A UM DOS PRINCIPAIS PONTOS TURÍSTICOS DA CIDADE</t>
        </is>
      </c>
      <c r="J2584">
        <f>HYPERLINK("https://www.acritica.com/entretenimento/exposic-o-gratuita-no-palacio-da-justica-celebra-os-120-anos-do-teatro-amazonas-1.102179", "URL")</f>
        <v/>
      </c>
      <c r="K2584">
        <f>HYPERLINK("https://raw.githubusercontent.com/marcosmapl/dataset_imigrantes/main/noticias_filtered/a_critica/venezuelanos/2016/10_nov/html/1.102179_882.html", "HTML")</f>
        <v/>
      </c>
      <c r="L2584">
        <f>HYPERLINK("https://raw.githubusercontent.com/marcosmapl/dataset_imigrantes/main/noticias_filtered/a_critica/venezuelanos/2016/10_nov/txt/1.102179_882.txt", "TXT")</f>
        <v/>
      </c>
    </row>
    <row r="2585">
      <c r="A2585" s="1" t="n">
        <v>2583</v>
      </c>
      <c r="B2585" t="n">
        <v>2016</v>
      </c>
      <c r="C2585" s="2" t="n">
        <v>42677.95277777778</v>
      </c>
      <c r="D2585" t="inlineStr">
        <is>
          <t>A CRITICA</t>
        </is>
      </c>
      <c r="E2585" t="inlineStr">
        <is>
          <t>HAITIANOS</t>
        </is>
      </c>
      <c r="F2585" t="inlineStr">
        <is>
          <t>OPINIAO</t>
        </is>
      </c>
      <c r="G2585" t="inlineStr">
        <is>
          <t>MÃES CRI CRI</t>
        </is>
      </c>
      <c r="H2585" t="inlineStr">
        <is>
          <t>CHEGOU A HORA DE PROGRAMAR A DIVERSÃO EM FAMÍLIA DESTE FIM DE SEMANA!</t>
        </is>
      </c>
      <c r="I2585" t="inlineStr"/>
      <c r="J2585">
        <f>HYPERLINK("https://www.acritica.com/opiniao/chegou-a-hora-de-programar-a-divers-o-em-familia-deste-fim-de-semana-1.217935", "URL")</f>
        <v/>
      </c>
      <c r="K2585">
        <f>HYPERLINK("https://raw.githubusercontent.com/marcosmapl/dataset_imigrantes/main/noticias_filtered/a_critica/haitianos/2016/10_nov/html/1.217935_1066.html", "HTML")</f>
        <v/>
      </c>
      <c r="L2585">
        <f>HYPERLINK("https://raw.githubusercontent.com/marcosmapl/dataset_imigrantes/main/noticias_filtered/a_critica/haitianos/2016/10_nov/txt/1.217935_1066.txt", "TXT")</f>
        <v/>
      </c>
    </row>
    <row r="2586">
      <c r="A2586" s="1" t="n">
        <v>2584</v>
      </c>
      <c r="B2586" t="n">
        <v>2016</v>
      </c>
      <c r="C2586" s="2" t="n">
        <v>42675.47708333333</v>
      </c>
      <c r="D2586" t="inlineStr">
        <is>
          <t>G1</t>
        </is>
      </c>
      <c r="E2586" t="inlineStr">
        <is>
          <t>HAITIANOS</t>
        </is>
      </c>
      <c r="F2586" t="inlineStr"/>
      <c r="G2586" t="inlineStr">
        <is>
          <t>1 MS</t>
        </is>
      </c>
      <c r="H2586" t="inlineStr">
        <is>
          <t>RODA DE CONVERSA ABRE PROGRAMAÇÃO DO MÊS DA CONSCIÊNCIA NEGRA EM MS</t>
        </is>
      </c>
      <c r="I2586" t="inlineStr"/>
      <c r="J2586">
        <f>HYPERLINK("http://g1.globo.com/mato-grosso-do-sul/noticia/2016/11/roda-de-conversa-abre-programacao-do-mes-da-consciencia-negra-em-ms.html", "URL")</f>
        <v/>
      </c>
      <c r="K2586">
        <f>HYPERLINK("https://raw.githubusercontent.com/marcosmapl/dataset_imigrantes/main/noticias_filtered/g1/haitianos/2016/10_nov/html/g1_a15fdb64-2325-11ed-b24f-6dbe51e79fca_3924.html", "HTML")</f>
        <v/>
      </c>
      <c r="L2586">
        <f>HYPERLINK("https://raw.githubusercontent.com/marcosmapl/dataset_imigrantes/main/noticias_filtered/g1/haitianos/2016/10_nov/txt/g1_a15fdb64-2325-11ed-b24f-6dbe51e79fca_3924.txt", "TXT")</f>
        <v/>
      </c>
    </row>
    <row r="2587">
      <c r="A2587" s="1" t="n">
        <v>2585</v>
      </c>
      <c r="B2587" t="n">
        <v>2016</v>
      </c>
      <c r="C2587" s="2" t="n">
        <v>42671.44861111111</v>
      </c>
      <c r="D2587" t="inlineStr">
        <is>
          <t>G1</t>
        </is>
      </c>
      <c r="E2587" t="inlineStr">
        <is>
          <t>HAITIANOS</t>
        </is>
      </c>
      <c r="F2587" t="inlineStr"/>
      <c r="G2587" t="inlineStr">
        <is>
          <t>ANA FIGUEIREDODO G1 AP</t>
        </is>
      </c>
      <c r="H2587" t="inlineStr">
        <is>
          <t>HAITIANOS SÃO FLAGRADOS EM TRAVESSIA IRREGULAR ENTRE AP E GUIANA FRANCESA</t>
        </is>
      </c>
      <c r="I2587" t="inlineStr"/>
      <c r="J2587">
        <f>HYPERLINK("http://g1.globo.com/ap/amapa/noticia/2016/10/haitianos-sao-flagrados-em-travessia-irregular-entre-ap-e-guiana-francesa.html", "URL")</f>
        <v/>
      </c>
      <c r="K2587">
        <f>HYPERLINK("https://raw.githubusercontent.com/marcosmapl/dataset_imigrantes/main/noticias_filtered/g1/haitianos/2016/09_out/html/g1_4124055e-22f8-11ed-b24f-6dbe51e79fca_2125.html", "HTML")</f>
        <v/>
      </c>
      <c r="L2587">
        <f>HYPERLINK("https://raw.githubusercontent.com/marcosmapl/dataset_imigrantes/main/noticias_filtered/g1/haitianos/2016/09_out/txt/g1_4124055e-22f8-11ed-b24f-6dbe51e79fca_2125.txt", "TXT")</f>
        <v/>
      </c>
    </row>
    <row r="2588">
      <c r="A2588" s="1" t="n">
        <v>2586</v>
      </c>
      <c r="B2588" t="n">
        <v>2016</v>
      </c>
      <c r="C2588" s="2" t="n">
        <v>42669.74513888889</v>
      </c>
      <c r="D2588" t="inlineStr">
        <is>
          <t>G1</t>
        </is>
      </c>
      <c r="E2588" t="inlineStr">
        <is>
          <t>VENEZUELANOS</t>
        </is>
      </c>
      <c r="F2588" t="inlineStr"/>
      <c r="G2588" t="inlineStr">
        <is>
          <t>RANCE PRESSE</t>
        </is>
      </c>
      <c r="H2588" t="inlineStr">
        <is>
          <t>OPOSIÇÃO VENEZUELANA CONVOCA GREVE GERAL DE 12 HORAS NA SEXTA-FEIRA</t>
        </is>
      </c>
      <c r="I2588" t="inlineStr"/>
      <c r="J2588">
        <f>HYPERLINK("http://g1.globo.com/mundo/noticia/2016/10/oposicao-venezuelana-convoca-greve-geral-de-12-horas-na-sexta-feira.html", "URL")</f>
        <v/>
      </c>
      <c r="K2588">
        <f>HYPERLINK("https://raw.githubusercontent.com/marcosmapl/dataset_imigrantes/main/noticias_filtered/g1/venezuelanos/2016/09_out/html/g1_e24b669c-2308-11ed-b24f-6dbe51e79fca_2410.html", "HTML")</f>
        <v/>
      </c>
      <c r="L2588">
        <f>HYPERLINK("https://raw.githubusercontent.com/marcosmapl/dataset_imigrantes/main/noticias_filtered/g1/venezuelanos/2016/09_out/txt/g1_e24b669c-2308-11ed-b24f-6dbe51e79fca_2410.txt", "TXT")</f>
        <v/>
      </c>
    </row>
    <row r="2589">
      <c r="A2589" s="1" t="n">
        <v>2587</v>
      </c>
      <c r="B2589" t="n">
        <v>2016</v>
      </c>
      <c r="C2589" s="2" t="n">
        <v>42669.52986111111</v>
      </c>
      <c r="D2589" t="inlineStr">
        <is>
          <t>G1</t>
        </is>
      </c>
      <c r="E2589" t="inlineStr">
        <is>
          <t>VENEZUELANOS</t>
        </is>
      </c>
      <c r="F2589" t="inlineStr"/>
      <c r="G2589" t="inlineStr">
        <is>
          <t>RANCE PRESSE</t>
        </is>
      </c>
      <c r="H2589" t="inlineStr">
        <is>
          <t>OPOSIÇÃO PROTESTA CONTRA MADURO EM VÁRIAS CIDADES VENEZUELANAS</t>
        </is>
      </c>
      <c r="I2589" t="inlineStr"/>
      <c r="J2589">
        <f>HYPERLINK("http://g1.globo.com/mundo/noticia/2016/10/oposicao-protesta-contra-maduro-em-varias-cidades-venezuelanas.html", "URL")</f>
        <v/>
      </c>
      <c r="K2589">
        <f>HYPERLINK("https://raw.githubusercontent.com/marcosmapl/dataset_imigrantes/main/noticias_filtered/g1/venezuelanos/2016/09_out/html/g1_3c6fd524-2316-11ed-b24f-6dbe51e79fca_3135.html", "HTML")</f>
        <v/>
      </c>
      <c r="L2589">
        <f>HYPERLINK("https://raw.githubusercontent.com/marcosmapl/dataset_imigrantes/main/noticias_filtered/g1/venezuelanos/2016/09_out/txt/g1_3c6fd524-2316-11ed-b24f-6dbe51e79fca_3135.txt", "TXT")</f>
        <v/>
      </c>
    </row>
    <row r="2590">
      <c r="A2590" s="1" t="n">
        <v>2588</v>
      </c>
      <c r="B2590" t="n">
        <v>2016</v>
      </c>
      <c r="C2590" s="2" t="n">
        <v>42668.83263888889</v>
      </c>
      <c r="D2590" t="inlineStr">
        <is>
          <t>G1</t>
        </is>
      </c>
      <c r="E2590" t="inlineStr">
        <is>
          <t>HAITIANOS</t>
        </is>
      </c>
      <c r="F2590" t="inlineStr"/>
      <c r="G2590" t="inlineStr">
        <is>
          <t>FP</t>
        </is>
      </c>
      <c r="H2590" t="inlineStr">
        <is>
          <t>ESPECIALISTA DENUNCIA CONDIÇÕES DESUMANAS DE HAITIANOS APÓS FURACÃO</t>
        </is>
      </c>
      <c r="I2590" t="inlineStr"/>
      <c r="J2590">
        <f>HYPERLINK("http://g1.globo.com/mundo/noticia/2016/10/especialista-denuncia-condicoes-desumanas-de-haitianos-apos-furacao.html", "URL")</f>
        <v/>
      </c>
      <c r="K2590">
        <f>HYPERLINK("https://raw.githubusercontent.com/marcosmapl/dataset_imigrantes/main/noticias_filtered/g1/haitianos/2016/09_out/html/g1_e862dbea-22f5-11ed-b24f-6dbe51e79fca_1980.html", "HTML")</f>
        <v/>
      </c>
      <c r="L2590">
        <f>HYPERLINK("https://raw.githubusercontent.com/marcosmapl/dataset_imigrantes/main/noticias_filtered/g1/haitianos/2016/09_out/txt/g1_e862dbea-22f5-11ed-b24f-6dbe51e79fca_1980.txt", "TXT")</f>
        <v/>
      </c>
    </row>
    <row r="2591">
      <c r="A2591" s="1" t="n">
        <v>2589</v>
      </c>
      <c r="B2591" t="n">
        <v>2016</v>
      </c>
      <c r="C2591" s="2" t="n">
        <v>42668.69726851852</v>
      </c>
      <c r="D2591" t="inlineStr">
        <is>
          <t>A CRITICA</t>
        </is>
      </c>
      <c r="E2591" t="inlineStr">
        <is>
          <t>HAITIANOS</t>
        </is>
      </c>
      <c r="F2591" t="inlineStr"/>
      <c r="G2591" t="inlineStr">
        <is>
          <t>ANDREIA VERDÉLIO –  AGÊNCIA BRASILEIRO</t>
        </is>
      </c>
      <c r="H2591" t="inlineStr">
        <is>
          <t>HAITIANOS COM PERMANÊNCIA CONCEDIDA EM 2015 DEVEM SOLICITAR REGISTRO À PF</t>
        </is>
      </c>
      <c r="I2591" t="inlineStr">
        <is>
          <t>O DESPACHO CONJUNTO DO MINISTÉRIO DA JUSTIÇA E DO MINISTÉRIO DO TRABALHO E PREVIDÊNCIA SOCIAL BENEFICIOU 43.871 HAITIANOS QUE PEDIRAM ASILO NO BRASIL</t>
        </is>
      </c>
      <c r="J2591">
        <f>HYPERLINK("https://www.acritica.com/haitianos-com-permanencia-concedida-em-2015-devem-solicitar-registro-a-pf-1.169690", "URL")</f>
        <v/>
      </c>
      <c r="K2591">
        <f>HYPERLINK("https://raw.githubusercontent.com/marcosmapl/dataset_imigrantes/main/noticias_filtered/a_critica/haitianos/2016/09_out/html/1.169690_1376.html", "HTML")</f>
        <v/>
      </c>
      <c r="L2591">
        <f>HYPERLINK("https://raw.githubusercontent.com/marcosmapl/dataset_imigrantes/main/noticias_filtered/a_critica/haitianos/2016/09_out/txt/1.169690_1376.txt", "TXT")</f>
        <v/>
      </c>
    </row>
    <row r="2592">
      <c r="A2592" s="1" t="n">
        <v>2590</v>
      </c>
      <c r="B2592" t="n">
        <v>2016</v>
      </c>
      <c r="C2592" s="2" t="n">
        <v>42666.88055555556</v>
      </c>
      <c r="D2592" t="inlineStr">
        <is>
          <t>G1</t>
        </is>
      </c>
      <c r="E2592" t="inlineStr">
        <is>
          <t>HAITIANOS</t>
        </is>
      </c>
      <c r="F2592" t="inlineStr"/>
      <c r="G2592" t="inlineStr">
        <is>
          <t xml:space="preserve"> KAWAGUTIBBC BRASIL, SAO PAULO</t>
        </is>
      </c>
      <c r="H2592" t="inlineStr">
        <is>
          <t>CORONEL BRASILEIRO DIZ QUE HAITIANOS COMEÇAM A RECONSTRUIR SUL DO PAÍS, MAS CLIMA AINDA É TENSO</t>
        </is>
      </c>
      <c r="I2592" t="inlineStr"/>
      <c r="J2592">
        <f>HYPERLINK("http://g1.globo.com/mundo/noticia/2016/10/coronel-brasileiro-diz-que-haitianos-comecam-a-reconstruir-sul-do-pais-mas-clima-ainda-e-tenso.html", "URL")</f>
        <v/>
      </c>
      <c r="K2592">
        <f>HYPERLINK("https://raw.githubusercontent.com/marcosmapl/dataset_imigrantes/main/noticias_filtered/g1/haitianos/2016/09_out/html/g1_bf0238cc-22f5-11ed-b24f-6dbe51e79fca_1969.html", "HTML")</f>
        <v/>
      </c>
      <c r="L2592">
        <f>HYPERLINK("https://raw.githubusercontent.com/marcosmapl/dataset_imigrantes/main/noticias_filtered/g1/haitianos/2016/09_out/txt/g1_bf0238cc-22f5-11ed-b24f-6dbe51e79fca_1969.txt", "TXT")</f>
        <v/>
      </c>
    </row>
    <row r="2593">
      <c r="A2593" s="1" t="n">
        <v>2591</v>
      </c>
      <c r="B2593" t="n">
        <v>2016</v>
      </c>
      <c r="C2593" s="2" t="n">
        <v>42666.25</v>
      </c>
      <c r="D2593" t="inlineStr">
        <is>
          <t>G1</t>
        </is>
      </c>
      <c r="E2593" t="inlineStr">
        <is>
          <t>HAITIANOS</t>
        </is>
      </c>
      <c r="F2593" t="inlineStr"/>
      <c r="G2593" t="inlineStr">
        <is>
          <t>A MACHADO DO G1 SÃO PAULO</t>
        </is>
      </c>
      <c r="H2593" t="inlineStr">
        <is>
          <t>HAITIANO GANHA BOLSA PARA SER ATOR EM SP E QUER COMBATER RACISMO COM ARTE</t>
        </is>
      </c>
      <c r="I2593" t="inlineStr"/>
      <c r="J2593">
        <f>HYPERLINK("http://g1.globo.com/sao-paulo/noticia/2016/10/haitiano-ganha-bolsa-para-ser-ator-em-sp-e-quer-combater-racismo-com-arte.html", "URL")</f>
        <v/>
      </c>
      <c r="K2593">
        <f>HYPERLINK("https://raw.githubusercontent.com/marcosmapl/dataset_imigrantes/main/noticias_filtered/g1/haitianos/2016/09_out/html/g1_fb00592e-2329-11ed-b24f-6dbe51e79fca_4151.html", "HTML")</f>
        <v/>
      </c>
      <c r="L2593">
        <f>HYPERLINK("https://raw.githubusercontent.com/marcosmapl/dataset_imigrantes/main/noticias_filtered/g1/haitianos/2016/09_out/txt/g1_fb00592e-2329-11ed-b24f-6dbe51e79fca_4151.txt", "TXT")</f>
        <v/>
      </c>
    </row>
    <row r="2594">
      <c r="A2594" s="1" t="n">
        <v>2592</v>
      </c>
      <c r="B2594" t="n">
        <v>2016</v>
      </c>
      <c r="C2594" s="2" t="n">
        <v>42665.76008101852</v>
      </c>
      <c r="D2594" t="inlineStr">
        <is>
          <t>A CRITICA</t>
        </is>
      </c>
      <c r="E2594" t="inlineStr">
        <is>
          <t>VENEZUELANOS</t>
        </is>
      </c>
      <c r="F2594" t="inlineStr"/>
      <c r="G2594" t="inlineStr">
        <is>
          <t>AGÊNCIA BRASIL</t>
        </is>
      </c>
      <c r="H2594" t="inlineStr">
        <is>
          <t>CAÇAS DA VENEZUELA INTERCEPTAM BOEING DA AVIANCA; COMPANHIA CANCELA VOOS NO PAÍS</t>
        </is>
      </c>
      <c r="I2594" t="inlineStr">
        <is>
          <t>AERONAVE QUE FAZIA O TRAJETO BOGOTÁ (COLÔMBIA) E MADRI (ESPANHA) COM MAIS DE 200 PESSOAS A BORDO, FOI INTERCEPTADA NO AR POR DOIS CAÇAS SUKHOI DO EXÉRCITO VENEZUELANO</t>
        </is>
      </c>
      <c r="J2594">
        <f>HYPERLINK("https://www.acritica.com/cacas-da-venezuela-interceptam-boeing-da-avianca-companhia-cancela-voos-no-pais-1.169138", "URL")</f>
        <v/>
      </c>
      <c r="K2594">
        <f>HYPERLINK("https://raw.githubusercontent.com/marcosmapl/dataset_imigrantes/main/noticias_filtered/a_critica/venezuelanos/2016/09_out/html/1.169138_28.html", "HTML")</f>
        <v/>
      </c>
      <c r="L2594">
        <f>HYPERLINK("https://raw.githubusercontent.com/marcosmapl/dataset_imigrantes/main/noticias_filtered/a_critica/venezuelanos/2016/09_out/txt/1.169138_28.txt", "TXT")</f>
        <v/>
      </c>
    </row>
    <row r="2595">
      <c r="A2595" s="1" t="n">
        <v>2593</v>
      </c>
      <c r="B2595" t="n">
        <v>2016</v>
      </c>
      <c r="C2595" s="2" t="n">
        <v>42663.81944444445</v>
      </c>
      <c r="D2595" t="inlineStr">
        <is>
          <t>G1</t>
        </is>
      </c>
      <c r="E2595" t="inlineStr">
        <is>
          <t>VENEZUELANOS</t>
        </is>
      </c>
      <c r="F2595" t="inlineStr"/>
      <c r="G2595" t="inlineStr">
        <is>
          <t>RANCE PRESSE</t>
        </is>
      </c>
      <c r="H2595" t="inlineStr">
        <is>
          <t>JUSTIÇA VENEZUELANA ANULA COLETA DE ASSINATURAS EM TRÊS ESTADOS</t>
        </is>
      </c>
      <c r="I2595" t="inlineStr"/>
      <c r="J2595">
        <f>HYPERLINK("http://g1.globo.com/mundo/noticia/2016/10/justica-venezuelana-anula-coleta-de-assinaturas-em-tres-estados.html", "URL")</f>
        <v/>
      </c>
      <c r="K2595">
        <f>HYPERLINK("https://raw.githubusercontent.com/marcosmapl/dataset_imigrantes/main/noticias_filtered/g1/venezuelanos/2016/09_out/html/g1_b80c65d0-231b-11ed-b24f-6dbe51e79fca_3402.html", "HTML")</f>
        <v/>
      </c>
      <c r="L2595">
        <f>HYPERLINK("https://raw.githubusercontent.com/marcosmapl/dataset_imigrantes/main/noticias_filtered/g1/venezuelanos/2016/09_out/txt/g1_b80c65d0-231b-11ed-b24f-6dbe51e79fca_3402.txt", "TXT")</f>
        <v/>
      </c>
    </row>
    <row r="2596">
      <c r="A2596" s="1" t="n">
        <v>2594</v>
      </c>
      <c r="B2596" t="n">
        <v>2016</v>
      </c>
      <c r="C2596" s="2" t="n">
        <v>42663.56319444445</v>
      </c>
      <c r="D2596" t="inlineStr">
        <is>
          <t>A CRITICA</t>
        </is>
      </c>
      <c r="E2596" t="inlineStr">
        <is>
          <t>VENEZUELANOS</t>
        </is>
      </c>
      <c r="F2596" t="inlineStr"/>
      <c r="G2596" t="inlineStr">
        <is>
          <t>OSWALDO NETO</t>
        </is>
      </c>
      <c r="H2596" t="inlineStr">
        <is>
          <t>EXÉRCITO IRÁ AUXILIAR EM MIGRAÇÃO DESENFREADA DE VENEZUELANOS EM RORAIMA</t>
        </is>
      </c>
      <c r="I2596" t="inlineStr">
        <is>
          <t>EM ENTREVISTA, CHEFE DO COMANDO LOGÍSTICO DO EXÉRCITO, GENERAL THEOPHILO GASPAR, AFIRMOU QUE BASE SERÁ MONTADA NO ESTADO PARA FAZER TRIAGEM DE IMIGRANTES. "EXISTE UM PERIGO DELES SE ALIAREM COM A MARGINALIDADE QUE EXISTE LÁ"</t>
        </is>
      </c>
      <c r="J2596">
        <f>HYPERLINK("https://www.acritica.com/exercito-ira-auxiliar-em-migrac-o-desenfreada-de-venezuelanos-em-roraima-1.168970", "URL")</f>
        <v/>
      </c>
      <c r="K2596">
        <f>HYPERLINK("https://raw.githubusercontent.com/marcosmapl/dataset_imigrantes/main/noticias_filtered/a_critica/venezuelanos/2016/09_out/html/1.168970_430.html", "HTML")</f>
        <v/>
      </c>
      <c r="L2596">
        <f>HYPERLINK("https://raw.githubusercontent.com/marcosmapl/dataset_imigrantes/main/noticias_filtered/a_critica/venezuelanos/2016/09_out/txt/1.168970_430.txt", "TXT")</f>
        <v/>
      </c>
    </row>
    <row r="2597">
      <c r="A2597" s="1" t="n">
        <v>2595</v>
      </c>
      <c r="B2597" t="n">
        <v>2016</v>
      </c>
      <c r="C2597" s="2" t="n">
        <v>42662.80138888889</v>
      </c>
      <c r="D2597" t="inlineStr">
        <is>
          <t>G1</t>
        </is>
      </c>
      <c r="E2597" t="inlineStr">
        <is>
          <t>HAITIANOS</t>
        </is>
      </c>
      <c r="F2597" t="inlineStr"/>
      <c r="G2597" t="inlineStr">
        <is>
          <t>1 PR</t>
        </is>
      </c>
      <c r="H2597" t="inlineStr">
        <is>
          <t>CAMPANHA BUSCA ARRECADAR ITENS PARA HAITIANOS ATINGIDOS POR FURACÃO</t>
        </is>
      </c>
      <c r="I2597" t="inlineStr"/>
      <c r="J2597">
        <f>HYPERLINK("http://g1.globo.com/pr/oeste-sudoeste/noticia/2016/10/campanha-busca-arrecadar-itens-para-haitianos-atingidos-por-furacao.html", "URL")</f>
        <v/>
      </c>
      <c r="K2597">
        <f>HYPERLINK("https://raw.githubusercontent.com/marcosmapl/dataset_imigrantes/main/noticias_filtered/g1/haitianos/2016/09_out/html/g1_f9ee40e8-22f5-11ed-b24f-6dbe51e79fca_1984.html", "HTML")</f>
        <v/>
      </c>
      <c r="L2597">
        <f>HYPERLINK("https://raw.githubusercontent.com/marcosmapl/dataset_imigrantes/main/noticias_filtered/g1/haitianos/2016/09_out/txt/g1_f9ee40e8-22f5-11ed-b24f-6dbe51e79fca_1984.txt", "TXT")</f>
        <v/>
      </c>
    </row>
    <row r="2598">
      <c r="A2598" s="1" t="n">
        <v>2596</v>
      </c>
      <c r="B2598" t="n">
        <v>2016</v>
      </c>
      <c r="C2598" s="2" t="n">
        <v>42660.74502314815</v>
      </c>
      <c r="D2598" t="inlineStr">
        <is>
          <t>A CRITICA</t>
        </is>
      </c>
      <c r="E2598" t="inlineStr">
        <is>
          <t>HAITIANOS</t>
        </is>
      </c>
      <c r="F2598" t="inlineStr">
        <is>
          <t>ENTRETENIMENTO</t>
        </is>
      </c>
      <c r="G2598" t="inlineStr">
        <is>
          <t>ACRÍTICA.COM</t>
        </is>
      </c>
      <c r="H2598" t="inlineStr">
        <is>
          <t>DIA DA CULTURA CUBANA É CELEBRADO COM MOSTRA DE CINEMA EM MANAUS</t>
        </is>
      </c>
      <c r="I2598" t="inlineStr">
        <is>
          <t>TRÊS FILMES SERÃO EXIBIDOS ENTRE OS DIAS 19 E 21 DE OUTUBRO, NO TEATRO GEBES MEDEIROS, NO CENTRO, ÀS 18H30, COM ENTRADA GRATUITA</t>
        </is>
      </c>
      <c r="J2598">
        <f>HYPERLINK("https://www.acritica.com/entretenimento/dia-da-cultura-cubana-e-celebrado-com-mostra-de-cinema-em-manaus-1.168505", "URL")</f>
        <v/>
      </c>
      <c r="K2598">
        <f>HYPERLINK("https://raw.githubusercontent.com/marcosmapl/dataset_imigrantes/main/noticias_filtered/a_critica/haitianos/2016/09_out/html/1.168505_167.html", "HTML")</f>
        <v/>
      </c>
      <c r="L2598">
        <f>HYPERLINK("https://raw.githubusercontent.com/marcosmapl/dataset_imigrantes/main/noticias_filtered/a_critica/haitianos/2016/09_out/txt/1.168505_167.txt", "TXT")</f>
        <v/>
      </c>
    </row>
    <row r="2599">
      <c r="A2599" s="1" t="n">
        <v>2597</v>
      </c>
      <c r="B2599" t="n">
        <v>2016</v>
      </c>
      <c r="C2599" s="2" t="n">
        <v>42660.74097222222</v>
      </c>
      <c r="D2599" t="inlineStr">
        <is>
          <t>G1</t>
        </is>
      </c>
      <c r="E2599" t="inlineStr">
        <is>
          <t>HAITIANOS</t>
        </is>
      </c>
      <c r="F2599" t="inlineStr"/>
      <c r="G2599" t="inlineStr">
        <is>
          <t xml:space="preserve"> RODRIGUESDO G1 AC</t>
        </is>
      </c>
      <c r="H2599" t="inlineStr">
        <is>
          <t>FAZENDO CAMINHO INVERSO, AC PASSA A SER ROTA PARA HAITIANOS DEIXAREM BRASIL</t>
        </is>
      </c>
      <c r="I2599" t="inlineStr"/>
      <c r="J2599">
        <f>HYPERLINK("http://g1.globo.com/ac/acre/noticia/2016/10/fazendo-caminho-inverso-ac-passa-ser-rota-para-haitianos-deixar-o-brasil.html", "URL")</f>
        <v/>
      </c>
      <c r="K2599">
        <f>HYPERLINK("https://raw.githubusercontent.com/marcosmapl/dataset_imigrantes/main/noticias_filtered/g1/haitianos/2016/09_out/html/g1_59f38594-22fa-11ed-b24f-6dbe51e79fca_2213.html", "HTML")</f>
        <v/>
      </c>
      <c r="L2599">
        <f>HYPERLINK("https://raw.githubusercontent.com/marcosmapl/dataset_imigrantes/main/noticias_filtered/g1/haitianos/2016/09_out/txt/g1_59f38594-22fa-11ed-b24f-6dbe51e79fca_2213.txt", "TXT")</f>
        <v/>
      </c>
    </row>
    <row r="2600">
      <c r="A2600" s="1" t="n">
        <v>2598</v>
      </c>
      <c r="B2600" t="n">
        <v>2016</v>
      </c>
      <c r="C2600" s="2" t="n">
        <v>42658.91805555556</v>
      </c>
      <c r="D2600" t="inlineStr">
        <is>
          <t>G1</t>
        </is>
      </c>
      <c r="E2600" t="inlineStr">
        <is>
          <t>HAITIANOS</t>
        </is>
      </c>
      <c r="F2600" t="inlineStr"/>
      <c r="G2600" t="inlineStr"/>
      <c r="H2600" t="inlineStr">
        <is>
          <t>BRASIL DEIXA DE SER UM DOS PRINCIPAIS DESTINOS DOS IMIGRANTES HAITIANOS</t>
        </is>
      </c>
      <c r="I2600" t="inlineStr"/>
      <c r="J2600">
        <f>HYPERLINK("http://g1.globo.com/jornal-nacional/noticia/2016/10/brasil-deixa-de-ser-um-dos-principais-destinos-dos-imigrantes-haitianos.html", "URL")</f>
        <v/>
      </c>
      <c r="K2600">
        <f>HYPERLINK("https://raw.githubusercontent.com/marcosmapl/dataset_imigrantes/main/noticias_filtered/g1/haitianos/2016/09_out/html/g1_a1780ac8-22f2-11ed-b24f-6dbe51e79fca_1807.html", "HTML")</f>
        <v/>
      </c>
      <c r="L2600">
        <f>HYPERLINK("https://raw.githubusercontent.com/marcosmapl/dataset_imigrantes/main/noticias_filtered/g1/haitianos/2016/09_out/txt/g1_a1780ac8-22f2-11ed-b24f-6dbe51e79fca_1807.txt", "TXT")</f>
        <v/>
      </c>
    </row>
    <row r="2601">
      <c r="A2601" s="1" t="n">
        <v>2599</v>
      </c>
      <c r="B2601" t="n">
        <v>2016</v>
      </c>
      <c r="C2601" s="2" t="n">
        <v>42658.54722222222</v>
      </c>
      <c r="D2601" t="inlineStr">
        <is>
          <t>A CRITICA</t>
        </is>
      </c>
      <c r="E2601" t="inlineStr">
        <is>
          <t>VENEZUELANOS</t>
        </is>
      </c>
      <c r="F2601" t="inlineStr"/>
      <c r="G2601" t="inlineStr">
        <is>
          <t>LUANA CARVALHO</t>
        </is>
      </c>
      <c r="H2601" t="inlineStr">
        <is>
          <t>SBCP PEDE INVESTIGAÇÃO SOBRE DENÚNCIA DE ESQUEMA DE TRÁFICO DE ÓRGÃOS DE BRASILEIRAS</t>
        </is>
      </c>
      <c r="I2601" t="inlineStr">
        <is>
          <t>A DENÚNCIA DA SOCIEDADE BRASILEIRA DE CIRURGIA PLÁSTICA FOI PROTOCOLADA, SEXTA-FEIRA (14), NO MINISTÉRIO PÚBLICO DO ESTADO (MPE),TRIBUNAL DE JUSTIÇA (TJ-AM), DEFENSORIA PÚBLICA DO ESTADO (DPE) E ORDEM DOS ADVOGADOS DO BRASIL (OAB)</t>
        </is>
      </c>
      <c r="J2601">
        <f>HYPERLINK("https://www.acritica.com/sbcp-pede-investigac-o-sobre-denuncia-de-esquema-de-trafico-de-org-os-de-brasileiras-1.168301", "URL")</f>
        <v/>
      </c>
      <c r="K2601">
        <f>HYPERLINK("https://raw.githubusercontent.com/marcosmapl/dataset_imigrantes/main/noticias_filtered/a_critica/venezuelanos/2016/09_out/html/1.168301_393.html", "HTML")</f>
        <v/>
      </c>
      <c r="L2601">
        <f>HYPERLINK("https://raw.githubusercontent.com/marcosmapl/dataset_imigrantes/main/noticias_filtered/a_critica/venezuelanos/2016/09_out/txt/1.168301_393.txt", "TXT")</f>
        <v/>
      </c>
    </row>
    <row r="2602">
      <c r="A2602" s="1" t="n">
        <v>2600</v>
      </c>
      <c r="B2602" t="n">
        <v>2016</v>
      </c>
      <c r="C2602" s="2" t="n">
        <v>42657.8125</v>
      </c>
      <c r="D2602" t="inlineStr">
        <is>
          <t>G1</t>
        </is>
      </c>
      <c r="E2602" t="inlineStr">
        <is>
          <t>HAITIANOS</t>
        </is>
      </c>
      <c r="F2602" t="inlineStr"/>
      <c r="G2602" t="inlineStr">
        <is>
          <t>1 MT</t>
        </is>
      </c>
      <c r="H2602" t="inlineStr">
        <is>
          <t>HAITIANO MORRE APÓS MANILHA SE SOLTAR DE RETROESCAVADEIRA EM CIDADE DE MT</t>
        </is>
      </c>
      <c r="I2602" t="inlineStr"/>
      <c r="J2602">
        <f>HYPERLINK("http://g1.globo.com/mato-grosso/noticia/2016/10/haitiano-morre-apos-manilha-se-soltar-de-retroescavadeira-em-cidade-de-mt.html", "URL")</f>
        <v/>
      </c>
      <c r="K2602">
        <f>HYPERLINK("https://raw.githubusercontent.com/marcosmapl/dataset_imigrantes/main/noticias_filtered/g1/haitianos/2016/09_out/html/g1_754f86ac-22f1-11ed-b24f-6dbe51e79fca_1751.html", "HTML")</f>
        <v/>
      </c>
      <c r="L2602">
        <f>HYPERLINK("https://raw.githubusercontent.com/marcosmapl/dataset_imigrantes/main/noticias_filtered/g1/haitianos/2016/09_out/txt/g1_754f86ac-22f1-11ed-b24f-6dbe51e79fca_1751.txt", "TXT")</f>
        <v/>
      </c>
    </row>
    <row r="2603">
      <c r="A2603" s="1" t="n">
        <v>2601</v>
      </c>
      <c r="B2603" t="n">
        <v>2016</v>
      </c>
      <c r="C2603" s="2" t="n">
        <v>42657.68724537037</v>
      </c>
      <c r="D2603" t="inlineStr">
        <is>
          <t>A CRITICA</t>
        </is>
      </c>
      <c r="E2603" t="inlineStr">
        <is>
          <t>VENEZUELANOS</t>
        </is>
      </c>
      <c r="F2603" t="inlineStr">
        <is>
          <t>MANAUS</t>
        </is>
      </c>
      <c r="G2603" t="inlineStr">
        <is>
          <t>LUANA CARVALHO</t>
        </is>
      </c>
      <c r="H2603" t="inlineStr">
        <is>
          <t>MÉDICOS FORMALIZAM DENÚNCIA DE TRÁFICO DE ÓRGÃOS DE PACIENTES NA VENEZUELA</t>
        </is>
      </c>
      <c r="I2603" t="inlineStr">
        <is>
          <t>EM MANAUS, MEMBROS DA SOCIEDADE BRASILEIRA DE CIRURGIA PLÁSTICA OFICIALIZARAM A DENÚNCIA AO MINISTÉRIO PÚBLICO, TJ-AM, DEFENSORIA E ORDEM DOS ADVOGADOS DO BRASIL</t>
        </is>
      </c>
      <c r="J2603">
        <f>HYPERLINK("https://www.acritica.com/manaus/medicos-formalizam-denuncia-de-trafico-de-org-os-de-pacientes-na-venezuela-1.168200", "URL")</f>
        <v/>
      </c>
      <c r="K2603">
        <f>HYPERLINK("https://raw.githubusercontent.com/marcosmapl/dataset_imigrantes/main/noticias_filtered/a_critica/venezuelanos/2016/09_out/html/1.168200_1358.html", "HTML")</f>
        <v/>
      </c>
      <c r="L2603">
        <f>HYPERLINK("https://raw.githubusercontent.com/marcosmapl/dataset_imigrantes/main/noticias_filtered/a_critica/venezuelanos/2016/09_out/txt/1.168200_1358.txt", "TXT")</f>
        <v/>
      </c>
    </row>
    <row r="2604">
      <c r="A2604" s="1" t="n">
        <v>2602</v>
      </c>
      <c r="B2604" t="n">
        <v>2016</v>
      </c>
      <c r="C2604" s="2" t="n">
        <v>42657.36041666667</v>
      </c>
      <c r="D2604" t="inlineStr">
        <is>
          <t>G1</t>
        </is>
      </c>
      <c r="E2604" t="inlineStr">
        <is>
          <t>VENEZUELANOS</t>
        </is>
      </c>
      <c r="F2604" t="inlineStr"/>
      <c r="G2604" t="inlineStr">
        <is>
          <t>1, EM SÃO PAULO</t>
        </is>
      </c>
      <c r="H2604" t="inlineStr">
        <is>
          <t>JESUÍTAS ESCOLHEM VENEZUELANO ARTURO SOSA ABASCAL COMO SUPERIOR</t>
        </is>
      </c>
      <c r="I2604" t="inlineStr"/>
      <c r="J2604">
        <f>HYPERLINK("http://g1.globo.com/mundo/noticia/2016/10/jesuitas-escolhem-venezuelano-arturo-sosa-abascal-como-superior.html", "URL")</f>
        <v/>
      </c>
      <c r="K2604">
        <f>HYPERLINK("https://raw.githubusercontent.com/marcosmapl/dataset_imigrantes/main/noticias_filtered/g1/venezuelanos/2016/09_out/html/g1_657a3792-2312-11ed-b24f-6dbe51e79fca_2965.html", "HTML")</f>
        <v/>
      </c>
      <c r="L2604">
        <f>HYPERLINK("https://raw.githubusercontent.com/marcosmapl/dataset_imigrantes/main/noticias_filtered/g1/venezuelanos/2016/09_out/txt/g1_657a3792-2312-11ed-b24f-6dbe51e79fca_2965.txt", "TXT")</f>
        <v/>
      </c>
    </row>
    <row r="2605">
      <c r="A2605" s="1" t="n">
        <v>2603</v>
      </c>
      <c r="B2605" t="n">
        <v>2016</v>
      </c>
      <c r="C2605" s="2" t="n">
        <v>42656.95069444444</v>
      </c>
      <c r="D2605" t="inlineStr">
        <is>
          <t>A CRITICA</t>
        </is>
      </c>
      <c r="E2605" t="inlineStr">
        <is>
          <t>VENEZUELANOS</t>
        </is>
      </c>
      <c r="F2605" t="inlineStr">
        <is>
          <t>MANAUS</t>
        </is>
      </c>
      <c r="G2605" t="inlineStr">
        <is>
          <t>RAFAEL SEIXAS</t>
        </is>
      </c>
      <c r="H2605" t="inlineStr">
        <is>
          <t>PRESIDENTE DA SBCP VEM A MANAUS PEDIR INVESTIGAÇÃO SOBRE SUPOSTO TRÁFICO DE ÓRGÃOS</t>
        </is>
      </c>
      <c r="I2605" t="inlineStr">
        <is>
          <t>A SUSPEITA ENVOLVE VÍTIMAS DE CIRURGIAS PLÁSTICAS REALIZADAS NA VENEZUELA, COMO O CASO DA PARINTINENSE DIONEIDE LEITE, 36, QUE MORREU EM SETEMBRO NA CIDADE DE PUERTO ORDAZ. A REUNIÃO ACONTECE NESTA SEXTA-FEIRA (14) NO HOTEL CAESAR BUSINESS</t>
        </is>
      </c>
      <c r="J2605">
        <f>HYPERLINK("https://www.acritica.com/manaus/presidente-da-sbcp-vem-a-manaus-pedir-investigac-o-sobre-suposto-trafico-de-org-os-1.167989", "URL")</f>
        <v/>
      </c>
      <c r="K2605">
        <f>HYPERLINK("https://raw.githubusercontent.com/marcosmapl/dataset_imigrantes/main/noticias_filtered/a_critica/venezuelanos/2016/09_out/html/1.167989_386.html", "HTML")</f>
        <v/>
      </c>
      <c r="L2605">
        <f>HYPERLINK("https://raw.githubusercontent.com/marcosmapl/dataset_imigrantes/main/noticias_filtered/a_critica/venezuelanos/2016/09_out/txt/1.167989_386.txt", "TXT")</f>
        <v/>
      </c>
    </row>
    <row r="2606">
      <c r="A2606" s="1" t="n">
        <v>2604</v>
      </c>
      <c r="B2606" t="n">
        <v>2016</v>
      </c>
      <c r="C2606" s="2" t="n">
        <v>42656.83125</v>
      </c>
      <c r="D2606" t="inlineStr">
        <is>
          <t>PORTAL AMAZONIA</t>
        </is>
      </c>
      <c r="E2606" t="inlineStr">
        <is>
          <t>VENEZUELANOS</t>
        </is>
      </c>
      <c r="F2606" t="inlineStr">
        <is>
          <t>CIDADES</t>
        </is>
      </c>
      <c r="G2606" t="inlineStr">
        <is>
          <t>REDAÇÃO</t>
        </is>
      </c>
      <c r="H2606" t="inlineStr">
        <is>
          <t>RORAIMA QUER CRIAR GABINETE PARA IMIGRANTES DA VENEZUELA</t>
        </is>
      </c>
      <c r="I2606" t="inlineStr">
        <is>
          <t>COM O ENDURECIMENTO DA CRISE ECONÔMICA E POLÍTICA NA VENEZUELA, A REGIÃO NORTE DO BRASIL ESTÁ RECEBENDO CADA VEZ MAIS VENEZUELANOS EM BUSCA DE MELHORES CONDIÇÕES DE VIDA. A SITUAÇÃO É MAIS DELICADA EM RORAIMA, ONDE NOS ÚLTIMOS SEIS MESES, E</t>
        </is>
      </c>
      <c r="J2606">
        <f>HYPERLINK("https://portalamazonia.com/noticias/cidades/roraima-quer-criar-gabinete-para-imigrantes-da-venezuela", "URL")</f>
        <v/>
      </c>
      <c r="K2606">
        <f>HYPERLINK("https://raw.githubusercontent.com/marcosmapl/dataset_imigrantes/main/noticias_filtered/portal_amazonia/venezuelanos/2016/09_out/html/3891.3891_1516.html", "HTML")</f>
        <v/>
      </c>
      <c r="L2606">
        <f>HYPERLINK("https://raw.githubusercontent.com/marcosmapl/dataset_imigrantes/main/noticias_filtered/portal_amazonia/venezuelanos/2016/09_out/txt/3891.3891_1516.txt", "TXT")</f>
        <v/>
      </c>
    </row>
    <row r="2607">
      <c r="A2607" s="1" t="n">
        <v>2605</v>
      </c>
      <c r="B2607" t="n">
        <v>2016</v>
      </c>
      <c r="C2607" s="2" t="n">
        <v>42656.7899537037</v>
      </c>
      <c r="D2607" t="inlineStr">
        <is>
          <t>A CRITICA</t>
        </is>
      </c>
      <c r="E2607" t="inlineStr">
        <is>
          <t>VENEZUELANOS</t>
        </is>
      </c>
      <c r="F2607" t="inlineStr">
        <is>
          <t>ESPORTES</t>
        </is>
      </c>
      <c r="G2607" t="inlineStr">
        <is>
          <t>ACRÍTICA.COM</t>
        </is>
      </c>
      <c r="H2607" t="inlineStr">
        <is>
          <t>MANAUS RECEBE TORNEIO INTERNACIONAL DE POKER COM PRÊMIO DE R$ 100 MIL</t>
        </is>
      </c>
      <c r="I2607" t="inlineStr">
        <is>
          <t>O TEXAS HOLD’EM LPC 888 MANAUS CONTINUA A SER REALIZADO NA ARENA DA AMAZÔNIA ENTRE OS DIAS 19 E 23 DE OUTUBRO</t>
        </is>
      </c>
      <c r="J2607">
        <f>HYPERLINK("https://www.acritica.com/esportes/manaus-recebe-torneio-internacional-de-poker-com-premio-de-r-100-mil-1.168019", "URL")</f>
        <v/>
      </c>
      <c r="K2607">
        <f>HYPERLINK("https://raw.githubusercontent.com/marcosmapl/dataset_imigrantes/main/noticias_filtered/a_critica/venezuelanos/2016/09_out/html/1.168019_51.html", "HTML")</f>
        <v/>
      </c>
      <c r="L2607">
        <f>HYPERLINK("https://raw.githubusercontent.com/marcosmapl/dataset_imigrantes/main/noticias_filtered/a_critica/venezuelanos/2016/09_out/txt/1.168019_51.txt", "TXT")</f>
        <v/>
      </c>
    </row>
    <row r="2608">
      <c r="A2608" s="1" t="n">
        <v>2606</v>
      </c>
      <c r="B2608" t="n">
        <v>2016</v>
      </c>
      <c r="C2608" s="2" t="n">
        <v>42656.70694444444</v>
      </c>
      <c r="D2608" t="inlineStr">
        <is>
          <t>G1</t>
        </is>
      </c>
      <c r="E2608" t="inlineStr">
        <is>
          <t>HAITIANOS</t>
        </is>
      </c>
      <c r="F2608" t="inlineStr"/>
      <c r="G2608" t="inlineStr">
        <is>
          <t>1 SC, COM INFORMAÇÕES DA RBS TV</t>
        </is>
      </c>
      <c r="H2608" t="inlineStr">
        <is>
          <t>APÓS 2 ANOS DE SEPARAÇÃO, HAITIANA TRAZ FILHA AO BRASIL: 'CORAÇÃO TRANQUILO'</t>
        </is>
      </c>
      <c r="I2608" t="inlineStr"/>
      <c r="J2608">
        <f>HYPERLINK("http://g1.globo.com/sc/santa-catarina/noticia/2016/10/apos-2-anos-de-separacao-haitiana-traz-filha-ao-brasil-coracao-tranquilo.html", "URL")</f>
        <v/>
      </c>
      <c r="K2608">
        <f>HYPERLINK("https://raw.githubusercontent.com/marcosmapl/dataset_imigrantes/main/noticias_filtered/g1/haitianos/2016/09_out/html/g1_abe4db56-2321-11ed-b24f-6dbe51e79fca_3712.html", "HTML")</f>
        <v/>
      </c>
      <c r="L2608">
        <f>HYPERLINK("https://raw.githubusercontent.com/marcosmapl/dataset_imigrantes/main/noticias_filtered/g1/haitianos/2016/09_out/txt/g1_abe4db56-2321-11ed-b24f-6dbe51e79fca_3712.txt", "TXT")</f>
        <v/>
      </c>
    </row>
    <row r="2609">
      <c r="A2609" s="1" t="n">
        <v>2607</v>
      </c>
      <c r="B2609" t="n">
        <v>2016</v>
      </c>
      <c r="C2609" s="2" t="n">
        <v>42656.46388888889</v>
      </c>
      <c r="D2609" t="inlineStr">
        <is>
          <t>G1</t>
        </is>
      </c>
      <c r="E2609" t="inlineStr">
        <is>
          <t>HAITIANOS</t>
        </is>
      </c>
      <c r="F2609" t="inlineStr"/>
      <c r="G2609" t="inlineStr">
        <is>
          <t>1, EM BRASÍLIA</t>
        </is>
      </c>
      <c r="H2609" t="inlineStr">
        <is>
          <t>GOVERNO BRASILEIRO ANUNCIA ENVIO DE DEZ TONELADAS DE DONATIVOS AO HAITI</t>
        </is>
      </c>
      <c r="I2609" t="inlineStr"/>
      <c r="J2609">
        <f>HYPERLINK("http://g1.globo.com/mundo/noticia/2016/10/governo-brasileiro-anuncia-envio-de-dez-toneladas-de-donativos-ao-haiti.html", "URL")</f>
        <v/>
      </c>
      <c r="K2609">
        <f>HYPERLINK("https://raw.githubusercontent.com/marcosmapl/dataset_imigrantes/main/noticias_filtered/g1/haitianos/2016/09_out/html/g1_44fe2946-2318-11ed-b24f-6dbe51e79fca_3251.html", "HTML")</f>
        <v/>
      </c>
      <c r="L2609">
        <f>HYPERLINK("https://raw.githubusercontent.com/marcosmapl/dataset_imigrantes/main/noticias_filtered/g1/haitianos/2016/09_out/txt/g1_44fe2946-2318-11ed-b24f-6dbe51e79fca_3251.txt", "TXT")</f>
        <v/>
      </c>
    </row>
    <row r="2610">
      <c r="A2610" s="1" t="n">
        <v>2608</v>
      </c>
      <c r="B2610" t="n">
        <v>2016</v>
      </c>
      <c r="C2610" s="2" t="n">
        <v>42655.46666666667</v>
      </c>
      <c r="D2610" t="inlineStr">
        <is>
          <t>G1</t>
        </is>
      </c>
      <c r="E2610" t="inlineStr">
        <is>
          <t>HAITIANOS</t>
        </is>
      </c>
      <c r="F2610" t="inlineStr"/>
      <c r="G2610" t="inlineStr">
        <is>
          <t>1, EM BRASÍLIA</t>
        </is>
      </c>
      <c r="H2610" t="inlineStr">
        <is>
          <t>GOVERNO BRASILEIRO ENVIA BARRACAS PARA DESABRIGADOS NO HAITI</t>
        </is>
      </c>
      <c r="I2610" t="inlineStr"/>
      <c r="J2610">
        <f>HYPERLINK("http://g1.globo.com/mundo/noticia/2016/10/governo-brasileiro-envia-barracas-para-desabrigados-no-haiti.html", "URL")</f>
        <v/>
      </c>
      <c r="K2610">
        <f>HYPERLINK("https://raw.githubusercontent.com/marcosmapl/dataset_imigrantes/main/noticias_filtered/g1/haitianos/2016/09_out/html/g1_b91be9e8-22ec-11ed-b24f-6dbe51e79fca_1665.html", "HTML")</f>
        <v/>
      </c>
      <c r="L2610">
        <f>HYPERLINK("https://raw.githubusercontent.com/marcosmapl/dataset_imigrantes/main/noticias_filtered/g1/haitianos/2016/09_out/txt/g1_b91be9e8-22ec-11ed-b24f-6dbe51e79fca_1665.txt", "TXT")</f>
        <v/>
      </c>
    </row>
    <row r="2611">
      <c r="A2611" s="1" t="n">
        <v>2609</v>
      </c>
      <c r="B2611" t="n">
        <v>2016</v>
      </c>
      <c r="C2611" s="2" t="n">
        <v>42655.32083333333</v>
      </c>
      <c r="D2611" t="inlineStr">
        <is>
          <t>G1</t>
        </is>
      </c>
      <c r="E2611" t="inlineStr">
        <is>
          <t>HAITIANOS</t>
        </is>
      </c>
      <c r="F2611" t="inlineStr"/>
      <c r="G2611" t="inlineStr">
        <is>
          <t>1 MS COM INFORMAÇÕES DA TV MORENA</t>
        </is>
      </c>
      <c r="H2611" t="inlineStr">
        <is>
          <t>CAMPANHA EM MS ARRECADA DINHEIRO PARA BUSCAR FILHAS DE CASAL HAITIANO</t>
        </is>
      </c>
      <c r="I2611" t="inlineStr"/>
      <c r="J2611">
        <f>HYPERLINK("http://g1.globo.com/mato-grosso-do-sul/noticia/2016/10/campanha-em-ms-arrecada-dinheiro-para-buscar-filhas-de-casal-haitiano.html", "URL")</f>
        <v/>
      </c>
      <c r="K2611">
        <f>HYPERLINK("https://raw.githubusercontent.com/marcosmapl/dataset_imigrantes/main/noticias_filtered/g1/haitianos/2016/09_out/html/g1_c85ebbd0-22f4-11ed-b24f-6dbe51e79fca_1909.html", "HTML")</f>
        <v/>
      </c>
      <c r="L2611">
        <f>HYPERLINK("https://raw.githubusercontent.com/marcosmapl/dataset_imigrantes/main/noticias_filtered/g1/haitianos/2016/09_out/txt/g1_c85ebbd0-22f4-11ed-b24f-6dbe51e79fca_1909.txt", "TXT")</f>
        <v/>
      </c>
    </row>
    <row r="2612">
      <c r="A2612" s="1" t="n">
        <v>2610</v>
      </c>
      <c r="B2612" t="n">
        <v>2016</v>
      </c>
      <c r="C2612" s="2" t="n">
        <v>42654.88402777778</v>
      </c>
      <c r="D2612" t="inlineStr">
        <is>
          <t>G1</t>
        </is>
      </c>
      <c r="E2612" t="inlineStr">
        <is>
          <t>HAITIANOS</t>
        </is>
      </c>
      <c r="F2612" t="inlineStr"/>
      <c r="G2612" t="inlineStr"/>
      <c r="H2612" t="inlineStr">
        <is>
          <t>HAITIANA ENCONTRADA SOB ESCOMBROS EM 2010 PERDEU PARENTES NO FURACÃO</t>
        </is>
      </c>
      <c r="I2612" t="inlineStr"/>
      <c r="J2612">
        <f>HYPERLINK("http://g1.globo.com/jornal-nacional/noticia/2016/10/haitiana-encontrada-sob-escombros-em-2010-perdeu-parentes-no-furacao.html", "URL")</f>
        <v/>
      </c>
      <c r="K2612">
        <f>HYPERLINK("https://raw.githubusercontent.com/marcosmapl/dataset_imigrantes/main/noticias_filtered/g1/haitianos/2016/09_out/html/g1_5f86bf0a-231b-11ed-b24f-6dbe51e79fca_3382.html", "HTML")</f>
        <v/>
      </c>
      <c r="L2612">
        <f>HYPERLINK("https://raw.githubusercontent.com/marcosmapl/dataset_imigrantes/main/noticias_filtered/g1/haitianos/2016/09_out/txt/g1_5f86bf0a-231b-11ed-b24f-6dbe51e79fca_3382.txt", "TXT")</f>
        <v/>
      </c>
    </row>
    <row r="2613">
      <c r="A2613" s="1" t="n">
        <v>2611</v>
      </c>
      <c r="B2613" t="n">
        <v>2016</v>
      </c>
      <c r="C2613" s="2" t="n">
        <v>42654.83472222222</v>
      </c>
      <c r="D2613" t="inlineStr">
        <is>
          <t>G1</t>
        </is>
      </c>
      <c r="E2613" t="inlineStr">
        <is>
          <t>HAITIANOS</t>
        </is>
      </c>
      <c r="F2613" t="inlineStr"/>
      <c r="G2613" t="inlineStr">
        <is>
          <t>RANCE PRESSE</t>
        </is>
      </c>
      <c r="H2613" t="inlineStr">
        <is>
          <t>FORÇAS DA ONU DEVEM ESTENDER PERMANÊNCIA NO HAITI POR SEIS MESES</t>
        </is>
      </c>
      <c r="I2613" t="inlineStr"/>
      <c r="J2613">
        <f>HYPERLINK("http://g1.globo.com/mundo/noticia/2016/10/forcas-da-onu-devem-estender-permanencia-no-haiti-por-seis-meses.html", "URL")</f>
        <v/>
      </c>
      <c r="K2613">
        <f>HYPERLINK("https://raw.githubusercontent.com/marcosmapl/dataset_imigrantes/main/noticias_filtered/g1/haitianos/2016/09_out/html/g1_b5a72646-2315-11ed-b24f-6dbe51e79fca_3102.html", "HTML")</f>
        <v/>
      </c>
      <c r="L2613">
        <f>HYPERLINK("https://raw.githubusercontent.com/marcosmapl/dataset_imigrantes/main/noticias_filtered/g1/haitianos/2016/09_out/txt/g1_b5a72646-2315-11ed-b24f-6dbe51e79fca_3102.txt", "TXT")</f>
        <v/>
      </c>
    </row>
    <row r="2614">
      <c r="A2614" s="1" t="n">
        <v>2612</v>
      </c>
      <c r="B2614" t="n">
        <v>2016</v>
      </c>
      <c r="C2614" s="2" t="n">
        <v>42653.87847222222</v>
      </c>
      <c r="D2614" t="inlineStr">
        <is>
          <t>G1</t>
        </is>
      </c>
      <c r="E2614" t="inlineStr">
        <is>
          <t>HAITIANOS</t>
        </is>
      </c>
      <c r="F2614" t="inlineStr"/>
      <c r="G2614" t="inlineStr"/>
      <c r="H2614" t="inlineStr">
        <is>
          <t>HAITIANOS AGUARDAM AJUDA HUMANITÁRIA EM ÁREAS DEVASTADAS PELO FURACÃO</t>
        </is>
      </c>
      <c r="I2614" t="inlineStr"/>
      <c r="J2614">
        <f>HYPERLINK("http://g1.globo.com/jornal-nacional/noticia/2016/10/haitianos-aguardam-ajuda-humanitaria-em-areas-devastadas-pelo-furacao.html", "URL")</f>
        <v/>
      </c>
      <c r="K2614">
        <f>HYPERLINK("https://raw.githubusercontent.com/marcosmapl/dataset_imigrantes/main/noticias_filtered/g1/haitianos/2016/09_out/html/g1_61701f74-22f2-11ed-b24f-6dbe51e79fca_1793.html", "HTML")</f>
        <v/>
      </c>
      <c r="L2614">
        <f>HYPERLINK("https://raw.githubusercontent.com/marcosmapl/dataset_imigrantes/main/noticias_filtered/g1/haitianos/2016/09_out/txt/g1_61701f74-22f2-11ed-b24f-6dbe51e79fca_1793.txt", "TXT")</f>
        <v/>
      </c>
    </row>
    <row r="2615">
      <c r="A2615" s="1" t="n">
        <v>2613</v>
      </c>
      <c r="B2615" t="n">
        <v>2016</v>
      </c>
      <c r="C2615" s="2" t="n">
        <v>42653.52986111111</v>
      </c>
      <c r="D2615" t="inlineStr">
        <is>
          <t>G1</t>
        </is>
      </c>
      <c r="E2615" t="inlineStr">
        <is>
          <t>HAITIANOS</t>
        </is>
      </c>
      <c r="F2615" t="inlineStr"/>
      <c r="G2615" t="inlineStr">
        <is>
          <t>GÊNCIA EFE</t>
        </is>
      </c>
      <c r="H2615" t="inlineStr">
        <is>
          <t>HAITI RETOMA AULAS APÓS PASSAGEM DE FURACÃO MATTHEW</t>
        </is>
      </c>
      <c r="I2615" t="inlineStr"/>
      <c r="J2615">
        <f>HYPERLINK("http://g1.globo.com/mundo/noticia/2016/10/haiti-retoma-aulas-apos-passagem-de-furacao-matthew.html", "URL")</f>
        <v/>
      </c>
      <c r="K2615">
        <f>HYPERLINK("https://raw.githubusercontent.com/marcosmapl/dataset_imigrantes/main/noticias_filtered/g1/haitianos/2016/09_out/html/g1_816862ae-232a-11ed-b24f-6dbe51e79fca_4183.html", "HTML")</f>
        <v/>
      </c>
      <c r="L2615">
        <f>HYPERLINK("https://raw.githubusercontent.com/marcosmapl/dataset_imigrantes/main/noticias_filtered/g1/haitianos/2016/09_out/txt/g1_816862ae-232a-11ed-b24f-6dbe51e79fca_4183.txt", "TXT")</f>
        <v/>
      </c>
    </row>
    <row r="2616">
      <c r="A2616" s="1" t="n">
        <v>2614</v>
      </c>
      <c r="B2616" t="n">
        <v>2016</v>
      </c>
      <c r="C2616" s="2" t="n">
        <v>42651.92222222222</v>
      </c>
      <c r="D2616" t="inlineStr">
        <is>
          <t>G1</t>
        </is>
      </c>
      <c r="E2616" t="inlineStr">
        <is>
          <t>HAITIANOS</t>
        </is>
      </c>
      <c r="F2616" t="inlineStr"/>
      <c r="G2616" t="inlineStr">
        <is>
          <t>1 SC</t>
        </is>
      </c>
      <c r="H2616" t="inlineStr">
        <is>
          <t>APÓS FURACÃO, HAITIANO QUE VIVE EM SC CRIA RÁDIO PARA INFORMAR SOBRE SEU PAÍS</t>
        </is>
      </c>
      <c r="I2616" t="inlineStr"/>
      <c r="J2616">
        <f>HYPERLINK("http://g1.globo.com/sc/santa-catarina/noticia/2016/10/apos-furacao-haitiano-que-vive-em-sc-cria-radio-para-informar-sobre-seu-pais.html", "URL")</f>
        <v/>
      </c>
      <c r="K2616">
        <f>HYPERLINK("https://raw.githubusercontent.com/marcosmapl/dataset_imigrantes/main/noticias_filtered/g1/haitianos/2016/09_out/html/g1_0202169c-231e-11ed-b24f-6dbe51e79fca_3533.html", "HTML")</f>
        <v/>
      </c>
      <c r="L2616">
        <f>HYPERLINK("https://raw.githubusercontent.com/marcosmapl/dataset_imigrantes/main/noticias_filtered/g1/haitianos/2016/09_out/txt/g1_0202169c-231e-11ed-b24f-6dbe51e79fca_3533.txt", "TXT")</f>
        <v/>
      </c>
    </row>
    <row r="2617">
      <c r="A2617" s="1" t="n">
        <v>2615</v>
      </c>
      <c r="B2617" t="n">
        <v>2016</v>
      </c>
      <c r="C2617" s="2" t="n">
        <v>42651.875</v>
      </c>
      <c r="D2617" t="inlineStr">
        <is>
          <t>G1</t>
        </is>
      </c>
      <c r="E2617" t="inlineStr">
        <is>
          <t>HAITIANOS</t>
        </is>
      </c>
      <c r="F2617" t="inlineStr"/>
      <c r="G2617" t="inlineStr">
        <is>
          <t>1 CAMPINAS E REGIÃO</t>
        </is>
      </c>
      <c r="H2617" t="inlineStr">
        <is>
          <t>APÓS MATTHEW, HAITIANOS SOFREM COM FALTA DE NOTÍCIAS DAS FAMÍLIAS NO HAITI</t>
        </is>
      </c>
      <c r="I2617" t="inlineStr"/>
      <c r="J2617">
        <f>HYPERLINK("http://g1.globo.com/sp/campinas-regiao/noticia/2016/10/apos-matthew-haitianos-sofrem-com-falta-de-noticias-das-familias-no-haiti-campinas.html", "URL")</f>
        <v/>
      </c>
      <c r="K2617">
        <f>HYPERLINK("https://raw.githubusercontent.com/marcosmapl/dataset_imigrantes/main/noticias_filtered/g1/haitianos/2016/09_out/html/g1_4bbeeafe-22f5-11ed-b24f-6dbe51e79fca_1940.html", "HTML")</f>
        <v/>
      </c>
      <c r="L2617">
        <f>HYPERLINK("https://raw.githubusercontent.com/marcosmapl/dataset_imigrantes/main/noticias_filtered/g1/haitianos/2016/09_out/txt/g1_4bbeeafe-22f5-11ed-b24f-6dbe51e79fca_1940.txt", "TXT")</f>
        <v/>
      </c>
    </row>
    <row r="2618">
      <c r="A2618" s="1" t="n">
        <v>2616</v>
      </c>
      <c r="B2618" t="n">
        <v>2016</v>
      </c>
      <c r="C2618" s="2" t="n">
        <v>42651.79513888889</v>
      </c>
      <c r="D2618" t="inlineStr">
        <is>
          <t>A CRITICA</t>
        </is>
      </c>
      <c r="E2618" t="inlineStr">
        <is>
          <t>HAITIANOS</t>
        </is>
      </c>
      <c r="F2618" t="inlineStr"/>
      <c r="G2618" t="inlineStr">
        <is>
          <t>MARIANA JUNGMANN (AGÊNCIA BRASIL)</t>
        </is>
      </c>
      <c r="H2618" t="inlineStr">
        <is>
          <t>TROPAS BRASILEIRAS NO HAITI ATUAM EM ÁREA MAIS ATINGIDA PELO FURACÃO MATTHEW</t>
        </is>
      </c>
      <c r="I2618" t="inlineStr">
        <is>
          <t>OS MILITARES TRABALHAM NO CARREGAMENTO DE NAVIOS COM DONATIVOS, NA RECONSTRUÇÃO DE ESTRADAS E NA DISTRIBUIÇÃO DE MANTIMENTOS</t>
        </is>
      </c>
      <c r="J2618">
        <f>HYPERLINK("https://www.acritica.com/tropas-brasileiras-no-haiti-atuam-em-area-mais-atingida-pelo-furac-o-matthew-1.167381", "URL")</f>
        <v/>
      </c>
      <c r="K2618">
        <f>HYPERLINK("https://raw.githubusercontent.com/marcosmapl/dataset_imigrantes/main/noticias_filtered/a_critica/haitianos/2016/09_out/html/1.167381_1245.html", "HTML")</f>
        <v/>
      </c>
      <c r="L2618">
        <f>HYPERLINK("https://raw.githubusercontent.com/marcosmapl/dataset_imigrantes/main/noticias_filtered/a_critica/haitianos/2016/09_out/txt/1.167381_1245.txt", "TXT")</f>
        <v/>
      </c>
    </row>
    <row r="2619">
      <c r="A2619" s="1" t="n">
        <v>2617</v>
      </c>
      <c r="B2619" t="n">
        <v>2016</v>
      </c>
      <c r="C2619" s="2" t="n">
        <v>42651.71111111111</v>
      </c>
      <c r="D2619" t="inlineStr">
        <is>
          <t>G1</t>
        </is>
      </c>
      <c r="E2619" t="inlineStr">
        <is>
          <t>HAITIANOS</t>
        </is>
      </c>
      <c r="F2619" t="inlineStr"/>
      <c r="G2619" t="inlineStr">
        <is>
          <t>EUS HENRIQUEDO G1 RO</t>
        </is>
      </c>
      <c r="H2619" t="inlineStr">
        <is>
          <t>HAITIANOS QUE MORAM EM RO CONTAM N° DE PARENTES MORTOS POR FURACÃO</t>
        </is>
      </c>
      <c r="I2619" t="inlineStr"/>
      <c r="J2619">
        <f>HYPERLINK("http://g1.globo.com/ro/rondonia/noticia/2016/10/haitianos-que-moram-em-ro-contam-n-de-parentes-mortos-por-furacao.html", "URL")</f>
        <v/>
      </c>
      <c r="K2619">
        <f>HYPERLINK("https://raw.githubusercontent.com/marcosmapl/dataset_imigrantes/main/noticias_filtered/g1/haitianos/2016/09_out/html/g1_d4e16712-22f5-11ed-b24f-6dbe51e79fca_1974.html", "HTML")</f>
        <v/>
      </c>
      <c r="L2619">
        <f>HYPERLINK("https://raw.githubusercontent.com/marcosmapl/dataset_imigrantes/main/noticias_filtered/g1/haitianos/2016/09_out/txt/g1_d4e16712-22f5-11ed-b24f-6dbe51e79fca_1974.txt", "TXT")</f>
        <v/>
      </c>
    </row>
    <row r="2620">
      <c r="A2620" s="1" t="n">
        <v>2618</v>
      </c>
      <c r="B2620" t="n">
        <v>2016</v>
      </c>
      <c r="C2620" s="2" t="n">
        <v>42651.59375</v>
      </c>
      <c r="D2620" t="inlineStr">
        <is>
          <t>G1</t>
        </is>
      </c>
      <c r="E2620" t="inlineStr">
        <is>
          <t>HAITIANOS</t>
        </is>
      </c>
      <c r="F2620" t="inlineStr"/>
      <c r="G2620" t="inlineStr">
        <is>
          <t>ELLA FRAGADO G1 RS</t>
        </is>
      </c>
      <c r="H2620" t="inlineStr">
        <is>
          <t>'GOSTARIA DE ESTAR COM ELES', DIZ HAITIANO EM PORTO ALEGRE SOBRE IRMÃOS</t>
        </is>
      </c>
      <c r="I2620" t="inlineStr"/>
      <c r="J2620">
        <f>HYPERLINK("http://g1.globo.com/rs/rio-grande-do-sul/noticia/2016/10/gostaria-de-estar-com-eles-diz-haitiano-em-porto-alegre-sobre-irmaos.html", "URL")</f>
        <v/>
      </c>
      <c r="K2620">
        <f>HYPERLINK("https://raw.githubusercontent.com/marcosmapl/dataset_imigrantes/main/noticias_filtered/g1/haitianos/2016/09_out/html/g1_6b35a038-22f2-11ed-b24f-6dbe51e79fca_1796.html", "HTML")</f>
        <v/>
      </c>
      <c r="L2620">
        <f>HYPERLINK("https://raw.githubusercontent.com/marcosmapl/dataset_imigrantes/main/noticias_filtered/g1/haitianos/2016/09_out/txt/g1_6b35a038-22f2-11ed-b24f-6dbe51e79fca_1796.txt", "TXT")</f>
        <v/>
      </c>
    </row>
    <row r="2621">
      <c r="A2621" s="1" t="n">
        <v>2619</v>
      </c>
      <c r="B2621" t="n">
        <v>2016</v>
      </c>
      <c r="C2621" s="2" t="n">
        <v>42651.42708333334</v>
      </c>
      <c r="D2621" t="inlineStr">
        <is>
          <t>G1</t>
        </is>
      </c>
      <c r="E2621" t="inlineStr">
        <is>
          <t>HAITIANOS</t>
        </is>
      </c>
      <c r="F2621" t="inlineStr"/>
      <c r="G2621" t="inlineStr"/>
      <c r="H2621" t="inlineStr">
        <is>
          <t>'NÃO SOBROU NADA', DIZ HAITIANO SOBRE PASSAGEM DO FURACÃO MATTHEW</t>
        </is>
      </c>
      <c r="I2621" t="inlineStr"/>
      <c r="J2621">
        <f>HYPERLINK("http://g1.globo.com/globo-news/noticia/2016/10/nao-sobrou-nada-diz-haitiano-sobre-passagem-do-furacao-matthew.html", "URL")</f>
        <v/>
      </c>
      <c r="K2621">
        <f>HYPERLINK("https://raw.githubusercontent.com/marcosmapl/dataset_imigrantes/main/noticias_filtered/g1/haitianos/2016/09_out/html/g1_c031dc94-22f4-11ed-b24f-6dbe51e79fca_1908.html", "HTML")</f>
        <v/>
      </c>
      <c r="L2621">
        <f>HYPERLINK("https://raw.githubusercontent.com/marcosmapl/dataset_imigrantes/main/noticias_filtered/g1/haitianos/2016/09_out/txt/g1_c031dc94-22f4-11ed-b24f-6dbe51e79fca_1908.txt", "TXT")</f>
        <v/>
      </c>
    </row>
    <row r="2622">
      <c r="A2622" s="1" t="n">
        <v>2620</v>
      </c>
      <c r="B2622" t="n">
        <v>2016</v>
      </c>
      <c r="C2622" s="2" t="n">
        <v>42651.29166666666</v>
      </c>
      <c r="D2622" t="inlineStr">
        <is>
          <t>G1</t>
        </is>
      </c>
      <c r="E2622" t="inlineStr">
        <is>
          <t>HAITIANOS</t>
        </is>
      </c>
      <c r="F2622" t="inlineStr"/>
      <c r="G2622" t="inlineStr">
        <is>
          <t>IA MELODO G1 AC</t>
        </is>
      </c>
      <c r="H2622" t="inlineStr">
        <is>
          <t>'FURACÃO DESTRUIU CASA QUE EU FIZ PARA MINHA MÃE', DIZ HAITIANO NO ACRE</t>
        </is>
      </c>
      <c r="I2622" t="inlineStr"/>
      <c r="J2622">
        <f>HYPERLINK("http://g1.globo.com/ac/acre/noticia/2016/10/furacao-destruiu-casa-que-eu-fiz-para-minha-mae-diz-haitiano-no-acre.html", "URL")</f>
        <v/>
      </c>
      <c r="K2622">
        <f>HYPERLINK("https://raw.githubusercontent.com/marcosmapl/dataset_imigrantes/main/noticias_filtered/g1/haitianos/2016/09_out/html/g1_9c043d00-2315-11ed-b24f-6dbe51e79fca_3096.html", "HTML")</f>
        <v/>
      </c>
      <c r="L2622">
        <f>HYPERLINK("https://raw.githubusercontent.com/marcosmapl/dataset_imigrantes/main/noticias_filtered/g1/haitianos/2016/09_out/txt/g1_9c043d00-2315-11ed-b24f-6dbe51e79fca_3096.txt", "TXT")</f>
        <v/>
      </c>
    </row>
    <row r="2623">
      <c r="A2623" s="1" t="n">
        <v>2621</v>
      </c>
      <c r="B2623" t="n">
        <v>2016</v>
      </c>
      <c r="C2623" s="2" t="n">
        <v>42650.74791666667</v>
      </c>
      <c r="D2623" t="inlineStr">
        <is>
          <t>PORTAL AMAZONIA</t>
        </is>
      </c>
      <c r="E2623" t="inlineStr">
        <is>
          <t>VENEZUELANOS</t>
        </is>
      </c>
      <c r="F2623" t="inlineStr">
        <is>
          <t>CIDADES</t>
        </is>
      </c>
      <c r="G2623" t="inlineStr">
        <is>
          <t>REDAÇÃO</t>
        </is>
      </c>
      <c r="H2623" t="inlineStr">
        <is>
          <t>IMIGRANTES VENEZUELANOS PREOCUPAM GOVERNO DE RORAIMA</t>
        </is>
      </c>
      <c r="I2623" t="inlineStr">
        <is>
          <t>FOTO: DIVULGAÇÃO/GOVERNO DE RORAIMAA CRISE POLÍTICA E ECONÔMICA QUE ATINGE A VENEZUELA TEM PROVOCADO A IMIGRAÇÃO, CADA VEZ MAIOR, DE VENEZUELANOS EM DIREÇÃO AO BRASIL. A MAIORIA DELES, ENTRA PELO MUNICÍPIO DE PACARAIMA, EM RORAIMA. PREOCUPADO CO</t>
        </is>
      </c>
      <c r="J2623">
        <f>HYPERLINK("https://portalamazonia.com/noticias/cidades/imigrantes-venezuelanos-preocupam-governo-de-roraima", "URL")</f>
        <v/>
      </c>
      <c r="K2623">
        <f>HYPERLINK("https://raw.githubusercontent.com/marcosmapl/dataset_imigrantes/main/noticias_filtered/portal_amazonia/venezuelanos/2016/09_out/html/3677.3677_1588.html", "HTML")</f>
        <v/>
      </c>
      <c r="L2623">
        <f>HYPERLINK("https://raw.githubusercontent.com/marcosmapl/dataset_imigrantes/main/noticias_filtered/portal_amazonia/venezuelanos/2016/09_out/txt/3677.3677_1588.txt", "TXT")</f>
        <v/>
      </c>
    </row>
    <row r="2624">
      <c r="A2624" s="1" t="n">
        <v>2622</v>
      </c>
      <c r="B2624" t="n">
        <v>2016</v>
      </c>
      <c r="C2624" s="2" t="n">
        <v>42649.73958333334</v>
      </c>
      <c r="D2624" t="inlineStr">
        <is>
          <t>A CRITICA</t>
        </is>
      </c>
      <c r="E2624" t="inlineStr">
        <is>
          <t>VENEZUELANOS</t>
        </is>
      </c>
      <c r="F2624" t="inlineStr"/>
      <c r="G2624" t="inlineStr">
        <is>
          <t>ANTÔNIO PAULO</t>
        </is>
      </c>
      <c r="H2624" t="inlineStr">
        <is>
          <t>BANCADA DO AMAZONAS VOTOU A FAVOR DO PROJETO QUE FLEXIBILIZA A VENDA DO PRÉ-SAL</t>
        </is>
      </c>
      <c r="I2624" t="inlineStr">
        <is>
          <t>ATUALMENTE, LEI PREVÊ PARTICIPAÇÃO DA PETROBRAS EM TODOS OS CONSÓRCIOS DE EXPLORAÇÃO DE BLOCOS LICITADOS NA ÁREA DO PRÉ-SAL; APENAS HISSA ABRAHÃO FOI CONTRÁRIO AO PROJETO</t>
        </is>
      </c>
      <c r="J2624">
        <f>HYPERLINK("https://www.acritica.com/bancada-do-amazonas-votou-a-favor-do-projeto-que-flexibiliza-a-venda-do-pre-sal-1.104918", "URL")</f>
        <v/>
      </c>
      <c r="K2624">
        <f>HYPERLINK("https://raw.githubusercontent.com/marcosmapl/dataset_imigrantes/main/noticias_filtered/a_critica/venezuelanos/2016/09_out/html/1.104918_172.html", "HTML")</f>
        <v/>
      </c>
      <c r="L2624">
        <f>HYPERLINK("https://raw.githubusercontent.com/marcosmapl/dataset_imigrantes/main/noticias_filtered/a_critica/venezuelanos/2016/09_out/txt/1.104918_172.txt", "TXT")</f>
        <v/>
      </c>
    </row>
    <row r="2625">
      <c r="A2625" s="1" t="n">
        <v>2623</v>
      </c>
      <c r="B2625" t="n">
        <v>2016</v>
      </c>
      <c r="C2625" s="2" t="n">
        <v>42649.62771990741</v>
      </c>
      <c r="D2625" t="inlineStr">
        <is>
          <t>A CRITICA</t>
        </is>
      </c>
      <c r="E2625" t="inlineStr">
        <is>
          <t>HAITIANOS</t>
        </is>
      </c>
      <c r="F2625" t="inlineStr"/>
      <c r="G2625" t="inlineStr">
        <is>
          <t>JOSÉ ROMILDO (AGÊNCIA BRASIL)</t>
        </is>
      </c>
      <c r="H2625" t="inlineStr">
        <is>
          <t>DOIS MILHÕES DE PESSOAS FOGEM DO LITORAL DOS EUA ANTES DA CHEGADA DO FURACÃO MATTHEW</t>
        </is>
      </c>
      <c r="I2625" t="inlineStr">
        <is>
          <t>DEPOIS DE DESTRUIR ESTRADAS, PONTES, CASAS E PROVOCAR A MORTE DE 25 PESSOAS EM PAÍSES DO CARIBE, O FURACÃO DEVERÁ ATINGIR HOJE À NOITE A COSTA DOS EUA</t>
        </is>
      </c>
      <c r="J2625">
        <f>HYPERLINK("https://www.acritica.com/dois-milh-es-de-pessoas-fogem-do-litoral-dos-eua-antes-da-chegada-do-furac-o-matthew-1.107140", "URL")</f>
        <v/>
      </c>
      <c r="K2625">
        <f>HYPERLINK("https://raw.githubusercontent.com/marcosmapl/dataset_imigrantes/main/noticias_filtered/a_critica/haitianos/2016/09_out/html/1.107140_724.html", "HTML")</f>
        <v/>
      </c>
      <c r="L2625">
        <f>HYPERLINK("https://raw.githubusercontent.com/marcosmapl/dataset_imigrantes/main/noticias_filtered/a_critica/haitianos/2016/09_out/txt/1.107140_724.txt", "TXT")</f>
        <v/>
      </c>
    </row>
    <row r="2626">
      <c r="A2626" s="1" t="n">
        <v>2624</v>
      </c>
      <c r="B2626" t="n">
        <v>2016</v>
      </c>
      <c r="C2626" s="2" t="n">
        <v>42648.89375</v>
      </c>
      <c r="D2626" t="inlineStr">
        <is>
          <t>A CRITICA</t>
        </is>
      </c>
      <c r="E2626" t="inlineStr">
        <is>
          <t>VENEZUELANOS</t>
        </is>
      </c>
      <c r="F2626" t="inlineStr">
        <is>
          <t>ESPORTES</t>
        </is>
      </c>
      <c r="G2626" t="inlineStr">
        <is>
          <t>DENIR SIMPLÍCIO</t>
        </is>
      </c>
      <c r="H2626" t="inlineStr">
        <is>
          <t>RIO NEGRO ARRANCA EMPATE CONTRA PRINCESA E SEGUE VIVO NO BAREZÃO</t>
        </is>
      </c>
      <c r="I2626" t="inlineStr">
        <is>
          <t>EM PARTIDA MUITO MOVIMENTADA, O GALO DA PRAÇA DA SAUDADE TEVE FORÇAS PARA SAIR DUAS VEZES ATRÁS NO PLACAR E EMPATAR O DUELO COM O TUBARÃO, EM MANACAPURU</t>
        </is>
      </c>
      <c r="J2626">
        <f>HYPERLINK("https://www.acritica.com/esportes/rio-negro-arranca-empate-contra-princesa-e-segue-vivo-no-barez-o-1.105611", "URL")</f>
        <v/>
      </c>
      <c r="K2626">
        <f>HYPERLINK("https://raw.githubusercontent.com/marcosmapl/dataset_imigrantes/main/noticias_filtered/a_critica/venezuelanos/2016/09_out/html/1.105611_1273.html", "HTML")</f>
        <v/>
      </c>
      <c r="L2626">
        <f>HYPERLINK("https://raw.githubusercontent.com/marcosmapl/dataset_imigrantes/main/noticias_filtered/a_critica/venezuelanos/2016/09_out/txt/1.105611_1273.txt", "TXT")</f>
        <v/>
      </c>
    </row>
    <row r="2627">
      <c r="A2627" s="1" t="n">
        <v>2625</v>
      </c>
      <c r="B2627" t="n">
        <v>2016</v>
      </c>
      <c r="C2627" s="2" t="n">
        <v>42647.89375</v>
      </c>
      <c r="D2627" t="inlineStr">
        <is>
          <t>G1</t>
        </is>
      </c>
      <c r="E2627" t="inlineStr">
        <is>
          <t>HAITIANOS</t>
        </is>
      </c>
      <c r="F2627" t="inlineStr"/>
      <c r="G2627" t="inlineStr"/>
      <c r="H2627" t="inlineStr">
        <is>
          <t>FURACÃO MATTHEW DEIXA MAIS DE 30 MORTOS NO HAITI</t>
        </is>
      </c>
      <c r="I2627" t="inlineStr"/>
      <c r="J2627">
        <f>HYPERLINK("http://g1.globo.com/jornal-nacional/noticia/2016/10/furacao-matthew-deixa-mais-de-30-mortos-no-haiti.html", "URL")</f>
        <v/>
      </c>
      <c r="K2627">
        <f>HYPERLINK("https://raw.githubusercontent.com/marcosmapl/dataset_imigrantes/main/noticias_filtered/g1/haitianos/2016/09_out/html/g1_b60e6cde-2329-11ed-b24f-6dbe51e79fca_4134.html", "HTML")</f>
        <v/>
      </c>
      <c r="L2627">
        <f>HYPERLINK("https://raw.githubusercontent.com/marcosmapl/dataset_imigrantes/main/noticias_filtered/g1/haitianos/2016/09_out/txt/g1_b60e6cde-2329-11ed-b24f-6dbe51e79fca_4134.txt", "TXT")</f>
        <v/>
      </c>
    </row>
    <row r="2628">
      <c r="A2628" s="1" t="n">
        <v>2626</v>
      </c>
      <c r="B2628" t="n">
        <v>2016</v>
      </c>
      <c r="C2628" s="2" t="n">
        <v>42646.78958333333</v>
      </c>
      <c r="D2628" t="inlineStr">
        <is>
          <t>G1</t>
        </is>
      </c>
      <c r="E2628" t="inlineStr">
        <is>
          <t>HAITIANOS</t>
        </is>
      </c>
      <c r="F2628" t="inlineStr"/>
      <c r="G2628" t="inlineStr">
        <is>
          <t>1, EM SÃO PAULO</t>
        </is>
      </c>
      <c r="H2628" t="inlineStr">
        <is>
          <t>FURACÃO MATTHEW DEIXA PRIMEIRAS VÍTIMAS E AVANÇA ENTRE HAITI E JAMAICA</t>
        </is>
      </c>
      <c r="I2628" t="inlineStr"/>
      <c r="J2628">
        <f>HYPERLINK("http://g1.globo.com/natureza/noticia/2016/10/furacao-matthew-deixa-primeiras-vitimas-e-avanca-entre-haiti-e-jamaica.html", "URL")</f>
        <v/>
      </c>
      <c r="K2628">
        <f>HYPERLINK("https://raw.githubusercontent.com/marcosmapl/dataset_imigrantes/main/noticias_filtered/g1/haitianos/2016/09_out/html/g1_27ffbed4-231f-11ed-b24f-6dbe51e79fca_3605.html", "HTML")</f>
        <v/>
      </c>
      <c r="L2628">
        <f>HYPERLINK("https://raw.githubusercontent.com/marcosmapl/dataset_imigrantes/main/noticias_filtered/g1/haitianos/2016/09_out/txt/g1_27ffbed4-231f-11ed-b24f-6dbe51e79fca_3605.txt", "TXT")</f>
        <v/>
      </c>
    </row>
    <row r="2629">
      <c r="A2629" s="1" t="n">
        <v>2627</v>
      </c>
      <c r="B2629" t="n">
        <v>2016</v>
      </c>
      <c r="C2629" s="2" t="n">
        <v>42646.64038194445</v>
      </c>
      <c r="D2629" t="inlineStr">
        <is>
          <t>A CRITICA</t>
        </is>
      </c>
      <c r="E2629" t="inlineStr">
        <is>
          <t>VENEZUELANOS</t>
        </is>
      </c>
      <c r="F2629" t="inlineStr"/>
      <c r="G2629" t="inlineStr">
        <is>
          <t>KELLY MELO</t>
        </is>
      </c>
      <c r="H2629" t="inlineStr">
        <is>
          <t>EXPEDIÇÃO NA SERRA DA MOCIDADE DESCOBRE 80 NOVAS ESPÉCIES DE PÁSSAROS</t>
        </is>
      </c>
      <c r="I2629" t="inlineStr">
        <is>
          <t>A ÁREA NUNCA HAVIA SIDO EXPLORADA, O QUE AUMENTOU A PROBABILIDADE DE EXISTIREM ESPÉCIES AINDA NÃO CATALOGADAS PELOS CIENTISTAS</t>
        </is>
      </c>
      <c r="J2629">
        <f>HYPERLINK("https://www.acritica.com/expedic-o-na-serra-da-mocidade-descobre-80-novas-especies-de-passaros-1.107246", "URL")</f>
        <v/>
      </c>
      <c r="K2629">
        <f>HYPERLINK("https://raw.githubusercontent.com/marcosmapl/dataset_imigrantes/main/noticias_filtered/a_critica/venezuelanos/2016/09_out/html/1.107246_1093.html", "HTML")</f>
        <v/>
      </c>
      <c r="L2629">
        <f>HYPERLINK("https://raw.githubusercontent.com/marcosmapl/dataset_imigrantes/main/noticias_filtered/a_critica/venezuelanos/2016/09_out/txt/1.107246_1093.txt", "TXT")</f>
        <v/>
      </c>
    </row>
    <row r="2630">
      <c r="A2630" s="1" t="n">
        <v>2628</v>
      </c>
      <c r="B2630" t="n">
        <v>2016</v>
      </c>
      <c r="C2630" s="2" t="n">
        <v>42644.99861111111</v>
      </c>
      <c r="D2630" t="inlineStr">
        <is>
          <t>G1</t>
        </is>
      </c>
      <c r="E2630" t="inlineStr">
        <is>
          <t>HAITIANOS</t>
        </is>
      </c>
      <c r="F2630" t="inlineStr"/>
      <c r="G2630" t="inlineStr">
        <is>
          <t>FE</t>
        </is>
      </c>
      <c r="H2630" t="inlineStr">
        <is>
          <t>MATTHEW FAZ EUA EVACUAREM PESSOAL DE GUANTÁNAMO; HAITI ENTRA EM ALERTA</t>
        </is>
      </c>
      <c r="I2630" t="inlineStr"/>
      <c r="J2630">
        <f>HYPERLINK("http://g1.globo.com/mundo/noticia/2016/10/furacao-matthew-faz-eua-evacuarem-pessoal-de-prisao-de-guantanamo.html", "URL")</f>
        <v/>
      </c>
      <c r="K2630">
        <f>HYPERLINK("https://raw.githubusercontent.com/marcosmapl/dataset_imigrantes/main/noticias_filtered/g1/haitianos/2016/09_out/html/g1_bf3d1458-232a-11ed-b24f-6dbe51e79fca_4200.html", "HTML")</f>
        <v/>
      </c>
      <c r="L2630">
        <f>HYPERLINK("https://raw.githubusercontent.com/marcosmapl/dataset_imigrantes/main/noticias_filtered/g1/haitianos/2016/09_out/txt/g1_bf3d1458-232a-11ed-b24f-6dbe51e79fca_4200.txt", "TXT")</f>
        <v/>
      </c>
    </row>
    <row r="2631">
      <c r="A2631" s="1" t="n">
        <v>2629</v>
      </c>
      <c r="B2631" t="n">
        <v>2016</v>
      </c>
      <c r="C2631" s="2" t="n">
        <v>42640.68055555555</v>
      </c>
      <c r="D2631" t="inlineStr">
        <is>
          <t>G1</t>
        </is>
      </c>
      <c r="E2631" t="inlineStr">
        <is>
          <t>VENEZUELANOS</t>
        </is>
      </c>
      <c r="F2631" t="inlineStr"/>
      <c r="G2631" t="inlineStr">
        <is>
          <t>BC</t>
        </is>
      </c>
      <c r="H2631" t="inlineStr">
        <is>
          <t>A EX-MISS UNIVERSO VENEZUELANA QUE SE TORNOU PERSONAGEM INVOLUNTÁRIA DO DEBATE ENTRE HILLARY E TRUMP</t>
        </is>
      </c>
      <c r="I2631" t="inlineStr"/>
      <c r="J2631">
        <f>HYPERLINK("http://g1.globo.com/mundo/eleicoes-nos-eua/2016/noticia/2016/09/a-ex-miss-universo-venezuelana-que-se-tornou-personagem-involuntaria-do-debate-entre-hillary-e-trump.html", "URL")</f>
        <v/>
      </c>
      <c r="K2631">
        <f>HYPERLINK("https://raw.githubusercontent.com/marcosmapl/dataset_imigrantes/main/noticias_filtered/g1/venezuelanos/2016/08_set/html/g1_02f27eea-231c-11ed-b24f-6dbe51e79fca_3423.html", "HTML")</f>
        <v/>
      </c>
      <c r="L2631">
        <f>HYPERLINK("https://raw.githubusercontent.com/marcosmapl/dataset_imigrantes/main/noticias_filtered/g1/venezuelanos/2016/08_set/txt/g1_02f27eea-231c-11ed-b24f-6dbe51e79fca_3423.txt", "TXT")</f>
        <v/>
      </c>
    </row>
    <row r="2632">
      <c r="A2632" s="1" t="n">
        <v>2630</v>
      </c>
      <c r="B2632" t="n">
        <v>2016</v>
      </c>
      <c r="C2632" s="2" t="n">
        <v>42639.69166666667</v>
      </c>
      <c r="D2632" t="inlineStr">
        <is>
          <t>G1</t>
        </is>
      </c>
      <c r="E2632" t="inlineStr">
        <is>
          <t>HAITIANOS</t>
        </is>
      </c>
      <c r="F2632" t="inlineStr"/>
      <c r="G2632" t="inlineStr">
        <is>
          <t>1 RIO PRETO E ARAÇATUBA</t>
        </is>
      </c>
      <c r="H2632" t="inlineStr">
        <is>
          <t>GRÁVIDA DÁ À LUZ NO MEIO DA RUA AO TENTAR IR A PÉ PARA HOSPITAL PEDIR AJUDA</t>
        </is>
      </c>
      <c r="I2632" t="inlineStr"/>
      <c r="J2632">
        <f>HYPERLINK("http://g1.globo.com/sao-paulo/sao-jose-do-rio-preto-aracatuba/noticia/2016/09/gravida-da-luz-no-meio-da-rua-ao-tentar-ir-pe-para-hospital-pedir-ajuda.html", "URL")</f>
        <v/>
      </c>
      <c r="K2632">
        <f>HYPERLINK("https://raw.githubusercontent.com/marcosmapl/dataset_imigrantes/main/noticias_filtered/g1/haitianos/2016/08_set/html/g1_d3f07bb0-230c-11ed-b24f-6dbe51e79fca_2650.html", "HTML")</f>
        <v/>
      </c>
      <c r="L2632">
        <f>HYPERLINK("https://raw.githubusercontent.com/marcosmapl/dataset_imigrantes/main/noticias_filtered/g1/haitianos/2016/08_set/txt/g1_d3f07bb0-230c-11ed-b24f-6dbe51e79fca_2650.txt", "TXT")</f>
        <v/>
      </c>
    </row>
    <row r="2633">
      <c r="A2633" s="1" t="n">
        <v>2631</v>
      </c>
      <c r="B2633" t="n">
        <v>2016</v>
      </c>
      <c r="C2633" s="2" t="n">
        <v>42638.7578125</v>
      </c>
      <c r="D2633" t="inlineStr">
        <is>
          <t>A CRITICA</t>
        </is>
      </c>
      <c r="E2633" t="inlineStr">
        <is>
          <t>VENEZUELANOS</t>
        </is>
      </c>
      <c r="F2633" t="inlineStr">
        <is>
          <t>MANAUS</t>
        </is>
      </c>
      <c r="G2633" t="inlineStr">
        <is>
          <t>KELLY MELO</t>
        </is>
      </c>
      <c r="H2633" t="inlineStr">
        <is>
          <t>SOCIEDADE BRASILEIRA DE CIRURGIA PLÁSTICA QUER QUE BRASIL INVESTIGUE TRÁFICO DE ÓRGÃOS</t>
        </is>
      </c>
      <c r="I2633" t="inlineStr">
        <is>
          <t>SÓ NESTE MÊS, TRÊS CASOS SUSPEITOS FORAM REGISTRADOS. UMA DAS VÍTIMAS MORAVA EM PARINTINS (AM)</t>
        </is>
      </c>
      <c r="J2633">
        <f>HYPERLINK("https://www.acritica.com/manaus/sociedade-brasileira-de-cirurgia-plastica-quer-que-brasil-investigue-trafico-de-org-os-1.106500", "URL")</f>
        <v/>
      </c>
      <c r="K2633">
        <f>HYPERLINK("https://raw.githubusercontent.com/marcosmapl/dataset_imigrantes/main/noticias_filtered/a_critica/venezuelanos/2016/08_set/html/1.106500_533.html", "HTML")</f>
        <v/>
      </c>
      <c r="L2633">
        <f>HYPERLINK("https://raw.githubusercontent.com/marcosmapl/dataset_imigrantes/main/noticias_filtered/a_critica/venezuelanos/2016/08_set/txt/1.106500_533.txt", "TXT")</f>
        <v/>
      </c>
    </row>
    <row r="2634">
      <c r="A2634" s="1" t="n">
        <v>2632</v>
      </c>
      <c r="B2634" t="n">
        <v>2016</v>
      </c>
      <c r="C2634" s="2" t="n">
        <v>42632.62945601852</v>
      </c>
      <c r="D2634" t="inlineStr">
        <is>
          <t>A CRITICA</t>
        </is>
      </c>
      <c r="E2634" t="inlineStr">
        <is>
          <t>HAITIANOS</t>
        </is>
      </c>
      <c r="F2634" t="inlineStr"/>
      <c r="G2634" t="inlineStr">
        <is>
          <t>ANA CRISTINA CAMPOS – AGÊNCIA BRASIL</t>
        </is>
      </c>
      <c r="H2634" t="inlineStr">
        <is>
          <t>ACOLHER REFUGIADOS É RESPONSABILIDADE COMPARTILHADA, DIZ TEMER NA ONU</t>
        </is>
      </c>
      <c r="I2634" t="inlineStr">
        <is>
          <t>TEMER DEU A DECLARAÇÃO DURANTE SESSÃO PLENÁRIA DA REUNIÃO DE ALTO NÍVEL SOBRE GRANDES MOVIMENTOS DE REFUGIADOS E MIGRANTES, NA SEDE DA ORGANIZAÇÃO DAS NAÇÕES UNIDAS (ONU), EM NOVA YORK</t>
        </is>
      </c>
      <c r="J2634">
        <f>HYPERLINK("https://www.acritica.com/acolher-refugiados-e-responsabilidade-compartilhada-diz-temer-na-onu-1.106855", "URL")</f>
        <v/>
      </c>
      <c r="K2634">
        <f>HYPERLINK("https://raw.githubusercontent.com/marcosmapl/dataset_imigrantes/main/noticias_filtered/a_critica/haitianos/2016/08_set/html/1.106855_280.html", "HTML")</f>
        <v/>
      </c>
      <c r="L2634">
        <f>HYPERLINK("https://raw.githubusercontent.com/marcosmapl/dataset_imigrantes/main/noticias_filtered/a_critica/haitianos/2016/08_set/txt/1.106855_280.txt", "TXT")</f>
        <v/>
      </c>
    </row>
    <row r="2635">
      <c r="A2635" s="1" t="n">
        <v>2633</v>
      </c>
      <c r="B2635" t="n">
        <v>2016</v>
      </c>
      <c r="C2635" s="2" t="n">
        <v>42631.56736111111</v>
      </c>
      <c r="D2635" t="inlineStr">
        <is>
          <t>G1</t>
        </is>
      </c>
      <c r="E2635" t="inlineStr">
        <is>
          <t>HAITIANOS</t>
        </is>
      </c>
      <c r="F2635" t="inlineStr"/>
      <c r="G2635" t="inlineStr">
        <is>
          <t>1 SC</t>
        </is>
      </c>
      <c r="H2635" t="inlineStr">
        <is>
          <t>ALUNOS DE SC ENSINAM PORTUGUÊS PARA HAITIANOS E SENEGALESES</t>
        </is>
      </c>
      <c r="I2635" t="inlineStr"/>
      <c r="J2635">
        <f>HYPERLINK("http://g1.globo.com/sc/santa-catarina/noticia/2016/09/alunos-de-sc-ensinam-portugues-para-haitianos-e-senegaleses.html", "URL")</f>
        <v/>
      </c>
      <c r="K2635">
        <f>HYPERLINK("https://raw.githubusercontent.com/marcosmapl/dataset_imigrantes/main/noticias_filtered/g1/haitianos/2016/08_set/html/g1_f56799e2-22f6-11ed-b24f-6dbe51e79fca_2050.html", "HTML")</f>
        <v/>
      </c>
      <c r="L2635">
        <f>HYPERLINK("https://raw.githubusercontent.com/marcosmapl/dataset_imigrantes/main/noticias_filtered/g1/haitianos/2016/08_set/txt/g1_f56799e2-22f6-11ed-b24f-6dbe51e79fca_2050.txt", "TXT")</f>
        <v/>
      </c>
    </row>
    <row r="2636">
      <c r="A2636" s="1" t="n">
        <v>2634</v>
      </c>
      <c r="B2636" t="n">
        <v>2016</v>
      </c>
      <c r="C2636" s="2" t="n">
        <v>42629.5</v>
      </c>
      <c r="D2636" t="inlineStr">
        <is>
          <t>A CRITICA</t>
        </is>
      </c>
      <c r="E2636" t="inlineStr">
        <is>
          <t>HAITIANOS</t>
        </is>
      </c>
      <c r="F2636" t="inlineStr">
        <is>
          <t>ESPORTES</t>
        </is>
      </c>
      <c r="G2636" t="inlineStr">
        <is>
          <t>THAISSA CORDEIRO</t>
        </is>
      </c>
      <c r="H2636" t="inlineStr">
        <is>
          <t>TIME DE FUTEBOL SÓ COM HAITIANOS PARTICIPA PELA PRIMEIRA VEZ DO PELADÃO BRAHMA</t>
        </is>
      </c>
      <c r="I2636" t="inlineStr">
        <is>
          <t>O AKOLAD BONDYE PIFÓ FOI CRIADO HÁ APENAS SEIS MESES, MAS JÁ TEM PRETENSÕES GRANDES NO AMAZONAS.</t>
        </is>
      </c>
      <c r="J2636">
        <f>HYPERLINK("https://www.acritica.com/esportes/time-de-futebol-so-com-haitianos-participa-pela-primeira-vez-do-pelad-o-brahma-1.209532", "URL")</f>
        <v/>
      </c>
      <c r="K2636">
        <f>HYPERLINK("https://raw.githubusercontent.com/marcosmapl/dataset_imigrantes/main/noticias_filtered/a_critica/haitianos/2016/08_set/html/1.209532_350.html", "HTML")</f>
        <v/>
      </c>
      <c r="L2636">
        <f>HYPERLINK("https://raw.githubusercontent.com/marcosmapl/dataset_imigrantes/main/noticias_filtered/a_critica/haitianos/2016/08_set/txt/1.209532_350.txt", "TXT")</f>
        <v/>
      </c>
    </row>
    <row r="2637">
      <c r="A2637" s="1" t="n">
        <v>2635</v>
      </c>
      <c r="B2637" t="n">
        <v>2016</v>
      </c>
      <c r="C2637" s="2" t="n">
        <v>42629.29722222222</v>
      </c>
      <c r="D2637" t="inlineStr">
        <is>
          <t>G1</t>
        </is>
      </c>
      <c r="E2637" t="inlineStr">
        <is>
          <t>HAITIANOS</t>
        </is>
      </c>
      <c r="F2637" t="inlineStr"/>
      <c r="G2637" t="inlineStr">
        <is>
          <t>EUTERS</t>
        </is>
      </c>
      <c r="H2637" t="inlineStr">
        <is>
          <t>ONDA DE HAITIANOS QUE DEIXOU BRASIL CHEGA NA FRONTEIRA ENTRE EUA E MÉXICO</t>
        </is>
      </c>
      <c r="I2637" t="inlineStr"/>
      <c r="J2637">
        <f>HYPERLINK("http://g1.globo.com/mundo/noticia/2016/09/onda-de-haitianos-que-deixou-brasil-chega-na-fronteira-entre-eua-e-mexico.html", "URL")</f>
        <v/>
      </c>
      <c r="K2637">
        <f>HYPERLINK("https://raw.githubusercontent.com/marcosmapl/dataset_imigrantes/main/noticias_filtered/g1/haitianos/2016/08_set/html/g1_341caac0-22f6-11ed-b24f-6dbe51e79fca_2000.html", "HTML")</f>
        <v/>
      </c>
      <c r="L2637">
        <f>HYPERLINK("https://raw.githubusercontent.com/marcosmapl/dataset_imigrantes/main/noticias_filtered/g1/haitianos/2016/08_set/txt/g1_341caac0-22f6-11ed-b24f-6dbe51e79fca_2000.txt", "TXT")</f>
        <v/>
      </c>
    </row>
    <row r="2638">
      <c r="A2638" s="1" t="n">
        <v>2636</v>
      </c>
      <c r="B2638" t="n">
        <v>2016</v>
      </c>
      <c r="C2638" s="2" t="n">
        <v>42627.84440972222</v>
      </c>
      <c r="D2638" t="inlineStr">
        <is>
          <t>A CRITICA</t>
        </is>
      </c>
      <c r="E2638" t="inlineStr">
        <is>
          <t>VENEZUELANOS</t>
        </is>
      </c>
      <c r="F2638" t="inlineStr">
        <is>
          <t>MANAUS</t>
        </is>
      </c>
      <c r="G2638" t="inlineStr">
        <is>
          <t>DANTE GRAÇA</t>
        </is>
      </c>
      <c r="H2638" t="inlineStr">
        <is>
          <t>MÉDICO VENEZUELANO DIZ QUE CIRURGIA DE COMERCIANTE FOI AGENDADA PELO WHATSAPP</t>
        </is>
      </c>
      <c r="I2638" t="inlineStr">
        <is>
          <t>EM ENTREVISTA EXCLUSIVA, MÉDICO CLASSIFICOU MORTE DE MORADORA DE PARINTINS FOI UMA FATALIDADE. "A ELA NÃO FALTOU NENHUM TRATAMENTO"</t>
        </is>
      </c>
      <c r="J2638">
        <f>HYPERLINK("https://www.acritica.com/manaus/medico-venezuelano-diz-que-cirurgia-de-comerciante-foi-agendada-pelo-whatsapp-1.165341", "URL")</f>
        <v/>
      </c>
      <c r="K2638">
        <f>HYPERLINK("https://raw.githubusercontent.com/marcosmapl/dataset_imigrantes/main/noticias_filtered/a_critica/venezuelanos/2016/08_set/html/1.165341_928.html", "HTML")</f>
        <v/>
      </c>
      <c r="L2638">
        <f>HYPERLINK("https://raw.githubusercontent.com/marcosmapl/dataset_imigrantes/main/noticias_filtered/a_critica/venezuelanos/2016/08_set/txt/1.165341_928.txt", "TXT")</f>
        <v/>
      </c>
    </row>
    <row r="2639">
      <c r="A2639" s="1" t="n">
        <v>2637</v>
      </c>
      <c r="B2639" t="n">
        <v>2016</v>
      </c>
      <c r="C2639" s="2" t="n">
        <v>42627.56666666667</v>
      </c>
      <c r="D2639" t="inlineStr">
        <is>
          <t>A CRITICA</t>
        </is>
      </c>
      <c r="E2639" t="inlineStr">
        <is>
          <t>VENEZUELANOS</t>
        </is>
      </c>
      <c r="F2639" t="inlineStr">
        <is>
          <t>MANAUS</t>
        </is>
      </c>
      <c r="G2639" t="inlineStr">
        <is>
          <t>VINICIUS LEAL</t>
        </is>
      </c>
      <c r="H2639" t="inlineStr">
        <is>
          <t>TREZE AMAZONENSES MORRERAM ESTE ANO APÓS FAZEREM CIRURGIAS PLÁSTICAS NA VENEZUELA</t>
        </is>
      </c>
      <c r="I2639" t="inlineStr">
        <is>
          <t>O PREÇO “MAIS EM CONTA” DOS PROCEDIMENTOS CIRÚRGICOS VENEZUELANOS, EM COMPARAÇÃO AOS DO BRASIL, É O PRINCIPAL ATRATIVO. O CASO MAIS RECENTE É O DA PARINTINENSE DIONEIDE LEITE, 36, QUE MORREU APÓS COMPLICAÇÕES EM CIRURGIAS</t>
        </is>
      </c>
      <c r="J2639">
        <f>HYPERLINK("https://www.acritica.com/manaus/treze-amazonenses-morreram-este-ano-apos-fazerem-cirurgias-plasticas-na-venezuela-1.165444", "URL")</f>
        <v/>
      </c>
      <c r="K2639">
        <f>HYPERLINK("https://raw.githubusercontent.com/marcosmapl/dataset_imigrantes/main/noticias_filtered/a_critica/venezuelanos/2016/08_set/html/1.165444_375.html", "HTML")</f>
        <v/>
      </c>
      <c r="L2639">
        <f>HYPERLINK("https://raw.githubusercontent.com/marcosmapl/dataset_imigrantes/main/noticias_filtered/a_critica/venezuelanos/2016/08_set/txt/1.165444_375.txt", "TXT")</f>
        <v/>
      </c>
    </row>
    <row r="2640">
      <c r="A2640" s="1" t="n">
        <v>2638</v>
      </c>
      <c r="B2640" t="n">
        <v>2016</v>
      </c>
      <c r="C2640" s="2" t="n">
        <v>42626.98541666667</v>
      </c>
      <c r="D2640" t="inlineStr">
        <is>
          <t>A CRITICA</t>
        </is>
      </c>
      <c r="E2640" t="inlineStr">
        <is>
          <t>VENEZUELANOS</t>
        </is>
      </c>
      <c r="F2640" t="inlineStr">
        <is>
          <t>MANAUS</t>
        </is>
      </c>
      <c r="G2640" t="inlineStr">
        <is>
          <t>KELLY MELO</t>
        </is>
      </c>
      <c r="H2640" t="inlineStr">
        <is>
          <t>PARINTINENSE MORRE APÓS REALIZAR CIRURGIA PLÁSTICA NA VENEZUELA</t>
        </is>
      </c>
      <c r="I2640" t="inlineStr">
        <is>
          <t>A COMERCIANTE DIONEIDE LEITE, 36, CHEGOU NO PAÍS VIZINHO NO INÍCIO DO MÊS PARA REALIZAR AO MENOS SEIS PROCEDIMENTOS ESTÉTICOS. UM DELES TERIA PERFURADO O PULMÃO DELA.</t>
        </is>
      </c>
      <c r="J2640">
        <f>HYPERLINK("https://www.acritica.com/manaus/parintinense-morre-apos-realizar-cirurgia-plastica-na-venezuela-1.165249", "URL")</f>
        <v/>
      </c>
      <c r="K2640">
        <f>HYPERLINK("https://raw.githubusercontent.com/marcosmapl/dataset_imigrantes/main/noticias_filtered/a_critica/venezuelanos/2016/08_set/html/1.165249_82.html", "HTML")</f>
        <v/>
      </c>
      <c r="L2640">
        <f>HYPERLINK("https://raw.githubusercontent.com/marcosmapl/dataset_imigrantes/main/noticias_filtered/a_critica/venezuelanos/2016/08_set/txt/1.165249_82.txt", "TXT")</f>
        <v/>
      </c>
    </row>
    <row r="2641">
      <c r="A2641" s="1" t="n">
        <v>2639</v>
      </c>
      <c r="B2641" t="n">
        <v>2016</v>
      </c>
      <c r="C2641" s="2" t="n">
        <v>42626.86180555556</v>
      </c>
      <c r="D2641" t="inlineStr">
        <is>
          <t>G1</t>
        </is>
      </c>
      <c r="E2641" t="inlineStr">
        <is>
          <t>HAITIANOS</t>
        </is>
      </c>
      <c r="F2641" t="inlineStr"/>
      <c r="G2641" t="inlineStr">
        <is>
          <t>1 MT</t>
        </is>
      </c>
      <c r="H2641" t="inlineStr">
        <is>
          <t>SEM EMPREGO, HAITIANOS QUE MORAM EM CUIABÁ DEPENDEM DE AUXÍLIOS</t>
        </is>
      </c>
      <c r="I2641" t="inlineStr"/>
      <c r="J2641">
        <f>HYPERLINK("http://g1.globo.com/mato-grosso/noticia/2016/09/sem-emprego-haitianos-que-moram-em-cuiaba-dependem-de-auxilios.html", "URL")</f>
        <v/>
      </c>
      <c r="K2641">
        <f>HYPERLINK("https://raw.githubusercontent.com/marcosmapl/dataset_imigrantes/main/noticias_filtered/g1/haitianos/2016/08_set/html/g1_0fcfa576-22f8-11ed-b24f-6dbe51e79fca_2114.html", "HTML")</f>
        <v/>
      </c>
      <c r="L2641">
        <f>HYPERLINK("https://raw.githubusercontent.com/marcosmapl/dataset_imigrantes/main/noticias_filtered/g1/haitianos/2016/08_set/txt/g1_0fcfa576-22f8-11ed-b24f-6dbe51e79fca_2114.txt", "TXT")</f>
        <v/>
      </c>
    </row>
    <row r="2642">
      <c r="A2642" s="1" t="n">
        <v>2640</v>
      </c>
      <c r="B2642" t="n">
        <v>2016</v>
      </c>
      <c r="C2642" s="2" t="n">
        <v>42624.71875</v>
      </c>
      <c r="D2642" t="inlineStr">
        <is>
          <t>A CRITICA</t>
        </is>
      </c>
      <c r="E2642" t="inlineStr">
        <is>
          <t>VENEZUELANOS</t>
        </is>
      </c>
      <c r="F2642" t="inlineStr">
        <is>
          <t>MANAUS</t>
        </is>
      </c>
      <c r="G2642" t="inlineStr">
        <is>
          <t>ALIK MENEZES</t>
        </is>
      </c>
      <c r="H2642" t="inlineStr">
        <is>
          <t>ESTRANGEIROS BUSCAM EM MANAUS NOVAS OPORTUNIDADES DE EMPREGO</t>
        </is>
      </c>
      <c r="I2642" t="inlineStr">
        <is>
          <t>FUGINDO DA CRISE QUE AMEAÇA PAÍSES DA AMÉRICA LATINA, UMA TURMA DE MIGRANTES CRIA LAÇOS E APROVEITA O MERCADO DE TRABALHO NA CAPITAL AMAZONENSE</t>
        </is>
      </c>
      <c r="J2642">
        <f>HYPERLINK("https://www.acritica.com/manaus/estrangeiros-buscam-em-manaus-novas-oportunidades-de-emprego-1.164994", "URL")</f>
        <v/>
      </c>
      <c r="K2642">
        <f>HYPERLINK("https://raw.githubusercontent.com/marcosmapl/dataset_imigrantes/main/noticias_filtered/a_critica/venezuelanos/2016/08_set/html/1.164994_1288.html", "HTML")</f>
        <v/>
      </c>
      <c r="L2642">
        <f>HYPERLINK("https://raw.githubusercontent.com/marcosmapl/dataset_imigrantes/main/noticias_filtered/a_critica/venezuelanos/2016/08_set/txt/1.164994_1288.txt", "TXT")</f>
        <v/>
      </c>
    </row>
    <row r="2643">
      <c r="A2643" s="1" t="n">
        <v>2641</v>
      </c>
      <c r="B2643" t="n">
        <v>2016</v>
      </c>
      <c r="C2643" s="2" t="n">
        <v>42622.77185185185</v>
      </c>
      <c r="D2643" t="inlineStr">
        <is>
          <t>A CRITICA</t>
        </is>
      </c>
      <c r="E2643" t="inlineStr">
        <is>
          <t>VENEZUELANOS</t>
        </is>
      </c>
      <c r="F2643" t="inlineStr">
        <is>
          <t>ESPORTES</t>
        </is>
      </c>
      <c r="G2643" t="inlineStr">
        <is>
          <t>ACRITICA.COM*</t>
        </is>
      </c>
      <c r="H2643" t="inlineStr">
        <is>
          <t>BRASILEIRO QUEBRA RECORDE MUNDIAL E GANHA MEDALHA DE OURO NOS 400M</t>
        </is>
      </c>
      <c r="I2643" t="inlineStr">
        <is>
          <t>DANIEL MARTINS FEZ UMA PROVA PERFEITA E CONSEGUIU FATURAR O OURO NA MANHÃ DESTA SEXTA FEIRA (9), NO ESTÁDIO OLÍMPICO ENGENHÃO</t>
        </is>
      </c>
      <c r="J2643">
        <f>HYPERLINK("https://www.acritica.com/esportes/brasileiro-quebra-recorde-mundial-e-ganha-medalha-de-ouro-nos-400m-1.164870", "URL")</f>
        <v/>
      </c>
      <c r="K2643">
        <f>HYPERLINK("https://raw.githubusercontent.com/marcosmapl/dataset_imigrantes/main/noticias_filtered/a_critica/venezuelanos/2016/08_set/html/1.164870_1160.html", "HTML")</f>
        <v/>
      </c>
      <c r="L2643">
        <f>HYPERLINK("https://raw.githubusercontent.com/marcosmapl/dataset_imigrantes/main/noticias_filtered/a_critica/venezuelanos/2016/08_set/txt/1.164870_1160.txt", "TXT")</f>
        <v/>
      </c>
    </row>
    <row r="2644">
      <c r="A2644" s="1" t="n">
        <v>2642</v>
      </c>
      <c r="B2644" t="n">
        <v>2016</v>
      </c>
      <c r="C2644" s="2" t="n">
        <v>42622.60689814815</v>
      </c>
      <c r="D2644" t="inlineStr">
        <is>
          <t>A CRITICA</t>
        </is>
      </c>
      <c r="E2644" t="inlineStr">
        <is>
          <t>VENEZUELANOS</t>
        </is>
      </c>
      <c r="F2644" t="inlineStr">
        <is>
          <t>ESPORTES</t>
        </is>
      </c>
      <c r="G2644" t="inlineStr">
        <is>
          <t>NATHALIA MENDES -  EBC</t>
        </is>
      </c>
      <c r="H2644" t="inlineStr">
        <is>
          <t>DANIEL MARTINS QUEBRA RECORDE MUNDIAL E FICA COM O OURO NOS 400M</t>
        </is>
      </c>
      <c r="I2644" t="inlineStr">
        <is>
          <t>ESTA É A TERCEIRA MEDALHA DE OURO DO BRASIL NOS JOGOS PARALÍMPICOS DO RIO DE JANEIRO, A SEGUNDA NO ATLETISMO</t>
        </is>
      </c>
      <c r="J2644">
        <f>HYPERLINK("https://www.acritica.com/esportes/daniel-martins-quebra-recorde-mundial-e-fica-com-o-ouro-nos-400m-1.164880", "URL")</f>
        <v/>
      </c>
      <c r="K2644">
        <f>HYPERLINK("https://raw.githubusercontent.com/marcosmapl/dataset_imigrantes/main/noticias_filtered/a_critica/venezuelanos/2016/08_set/html/1.164880_713.html", "HTML")</f>
        <v/>
      </c>
      <c r="L2644">
        <f>HYPERLINK("https://raw.githubusercontent.com/marcosmapl/dataset_imigrantes/main/noticias_filtered/a_critica/venezuelanos/2016/08_set/txt/1.164880_713.txt", "TXT")</f>
        <v/>
      </c>
    </row>
    <row r="2645">
      <c r="A2645" s="1" t="n">
        <v>2643</v>
      </c>
      <c r="B2645" t="n">
        <v>2016</v>
      </c>
      <c r="C2645" s="2" t="n">
        <v>42622.50347222222</v>
      </c>
      <c r="D2645" t="inlineStr">
        <is>
          <t>A CRITICA</t>
        </is>
      </c>
      <c r="E2645" t="inlineStr">
        <is>
          <t>VENEZUELANOS</t>
        </is>
      </c>
      <c r="F2645" t="inlineStr"/>
      <c r="G2645" t="inlineStr">
        <is>
          <t>MÔNICA YANAKIEW – AGÊNCIA BRASIL</t>
        </is>
      </c>
      <c r="H2645" t="inlineStr">
        <is>
          <t>BRASIL E ARGENTINA CRIAM CONSELHO PARA AMPLIAR COOPERAÇÃO BILATERAL</t>
        </is>
      </c>
      <c r="I2645" t="inlineStr">
        <is>
          <t>O ENCONTRO OCORRE EM UM MOMENTO EM QUE O MERCADO COMUM DO SUL (MERCOSUL) ESTÁ PRATICAMENTE PARALISADO, DEVIDO A UMA CRISE INSTITUCIONAL</t>
        </is>
      </c>
      <c r="J2645">
        <f>HYPERLINK("https://www.acritica.com/brasil-e-argentina-criam-conselho-para-ampliar-cooperac-o-bilateral-1.164921", "URL")</f>
        <v/>
      </c>
      <c r="K2645">
        <f>HYPERLINK("https://raw.githubusercontent.com/marcosmapl/dataset_imigrantes/main/noticias_filtered/a_critica/venezuelanos/2016/08_set/html/1.164921_268.html", "HTML")</f>
        <v/>
      </c>
      <c r="L2645">
        <f>HYPERLINK("https://raw.githubusercontent.com/marcosmapl/dataset_imigrantes/main/noticias_filtered/a_critica/venezuelanos/2016/08_set/txt/1.164921_268.txt", "TXT")</f>
        <v/>
      </c>
    </row>
    <row r="2646">
      <c r="A2646" s="1" t="n">
        <v>2644</v>
      </c>
      <c r="B2646" t="n">
        <v>2016</v>
      </c>
      <c r="C2646" s="2" t="n">
        <v>42620.82013888889</v>
      </c>
      <c r="D2646" t="inlineStr">
        <is>
          <t>G1</t>
        </is>
      </c>
      <c r="E2646" t="inlineStr">
        <is>
          <t>VENEZUELANOS</t>
        </is>
      </c>
      <c r="F2646" t="inlineStr"/>
      <c r="G2646" t="inlineStr">
        <is>
          <t>EUTERS</t>
        </is>
      </c>
      <c r="H2646" t="inlineStr">
        <is>
          <t>OPOSIÇÃO VENEZUELANA REALIZA NOVOS PROTESTOS CONTRA MADURO</t>
        </is>
      </c>
      <c r="I2646" t="inlineStr"/>
      <c r="J2646">
        <f>HYPERLINK("http://g1.globo.com/mundo/noticia/2016/09/oposicao-venezuelana-realiza-novos-protestos-contra-maduro.html", "URL")</f>
        <v/>
      </c>
      <c r="K2646">
        <f>HYPERLINK("https://raw.githubusercontent.com/marcosmapl/dataset_imigrantes/main/noticias_filtered/g1/venezuelanos/2016/08_set/html/g1_0fd02290-231f-11ed-b24f-6dbe51e79fca_3598.html", "HTML")</f>
        <v/>
      </c>
      <c r="L2646">
        <f>HYPERLINK("https://raw.githubusercontent.com/marcosmapl/dataset_imigrantes/main/noticias_filtered/g1/venezuelanos/2016/08_set/txt/g1_0fd02290-231f-11ed-b24f-6dbe51e79fca_3598.txt", "TXT")</f>
        <v/>
      </c>
    </row>
    <row r="2647">
      <c r="A2647" s="1" t="n">
        <v>2645</v>
      </c>
      <c r="B2647" t="n">
        <v>2016</v>
      </c>
      <c r="C2647" s="2" t="n">
        <v>42620.41597222222</v>
      </c>
      <c r="D2647" t="inlineStr">
        <is>
          <t>G1</t>
        </is>
      </c>
      <c r="E2647" t="inlineStr">
        <is>
          <t>VENEZUELANOS</t>
        </is>
      </c>
      <c r="F2647" t="inlineStr"/>
      <c r="G2647" t="inlineStr">
        <is>
          <t>RANCE PRESSE</t>
        </is>
      </c>
      <c r="H2647" t="inlineStr">
        <is>
          <t>OPOSIÇÃO VENEZUELANA ORGANIZA NOVO PROTESTO CONTRA MADURO</t>
        </is>
      </c>
      <c r="I2647" t="inlineStr"/>
      <c r="J2647">
        <f>HYPERLINK("http://g1.globo.com/mundo/noticia/2016/09/oposicao-venezuelana-aumenta-pressao-nas-ruas-contra-maduro.html", "URL")</f>
        <v/>
      </c>
      <c r="K2647">
        <f>HYPERLINK("https://raw.githubusercontent.com/marcosmapl/dataset_imigrantes/main/noticias_filtered/g1/venezuelanos/2016/08_set/html/g1_4c7bdecc-2311-11ed-b24f-6dbe51e79fca_2910.html", "HTML")</f>
        <v/>
      </c>
      <c r="L2647">
        <f>HYPERLINK("https://raw.githubusercontent.com/marcosmapl/dataset_imigrantes/main/noticias_filtered/g1/venezuelanos/2016/08_set/txt/g1_4c7bdecc-2311-11ed-b24f-6dbe51e79fca_2910.txt", "TXT")</f>
        <v/>
      </c>
    </row>
    <row r="2648">
      <c r="A2648" s="1" t="n">
        <v>2646</v>
      </c>
      <c r="B2648" t="n">
        <v>2016</v>
      </c>
      <c r="C2648" s="2" t="n">
        <v>42618.73194444444</v>
      </c>
      <c r="D2648" t="inlineStr">
        <is>
          <t>G1</t>
        </is>
      </c>
      <c r="E2648" t="inlineStr">
        <is>
          <t>HAITIANOS</t>
        </is>
      </c>
      <c r="F2648" t="inlineStr"/>
      <c r="G2648" t="inlineStr">
        <is>
          <t>É SOUZADO G1 MT</t>
        </is>
      </c>
      <c r="H2648" t="inlineStr">
        <is>
          <t>HAITIANO MORRE SOTERRADO APÓS BARRANCO DESMORONAR EM OBRA EM MT</t>
        </is>
      </c>
      <c r="I2648" t="inlineStr"/>
      <c r="J2648">
        <f>HYPERLINK("http://g1.globo.com/mato-grosso/noticia/2016/09/haitiano-morre-soterrado-apos-barranco-desmoronar-em-obra-em-mt.html", "URL")</f>
        <v/>
      </c>
      <c r="K2648">
        <f>HYPERLINK("https://raw.githubusercontent.com/marcosmapl/dataset_imigrantes/main/noticias_filtered/g1/haitianos/2016/08_set/html/g1_63f812b0-2306-11ed-b24f-6dbe51e79fca_2257.html", "HTML")</f>
        <v/>
      </c>
      <c r="L2648">
        <f>HYPERLINK("https://raw.githubusercontent.com/marcosmapl/dataset_imigrantes/main/noticias_filtered/g1/haitianos/2016/08_set/txt/g1_63f812b0-2306-11ed-b24f-6dbe51e79fca_2257.txt", "TXT")</f>
        <v/>
      </c>
    </row>
    <row r="2649">
      <c r="A2649" s="1" t="n">
        <v>2647</v>
      </c>
      <c r="B2649" t="n">
        <v>2016</v>
      </c>
      <c r="C2649" s="2" t="n">
        <v>42618.61805555555</v>
      </c>
      <c r="D2649" t="inlineStr">
        <is>
          <t>G1</t>
        </is>
      </c>
      <c r="E2649" t="inlineStr">
        <is>
          <t>HAITIANOS</t>
        </is>
      </c>
      <c r="F2649" t="inlineStr"/>
      <c r="G2649" t="inlineStr">
        <is>
          <t>1 AM</t>
        </is>
      </c>
      <c r="H2649" t="inlineStr">
        <is>
          <t>'IMIGRANTES HAITIANOS NO BRASIL' É TEMA DE EXPOSIÇÃO DO MUSEU AMAZÔNICO</t>
        </is>
      </c>
      <c r="I2649" t="inlineStr"/>
      <c r="J2649">
        <f>HYPERLINK("http://g1.globo.com/am/amazonas/manaus-acontece/noticia/2016/09/imigrantes-haitianos-no-brasil-e-tema-de-exposicao-do-museu-amazonico.html", "URL")</f>
        <v/>
      </c>
      <c r="K2649">
        <f>HYPERLINK("https://raw.githubusercontent.com/marcosmapl/dataset_imigrantes/main/noticias_filtered/g1/haitianos/2016/08_set/html/g1_09bdf6e4-22f6-11ed-b24f-6dbe51e79fca_1989.html", "HTML")</f>
        <v/>
      </c>
      <c r="L2649">
        <f>HYPERLINK("https://raw.githubusercontent.com/marcosmapl/dataset_imigrantes/main/noticias_filtered/g1/haitianos/2016/08_set/txt/g1_09bdf6e4-22f6-11ed-b24f-6dbe51e79fca_1989.txt", "TXT")</f>
        <v/>
      </c>
    </row>
    <row r="2650">
      <c r="A2650" s="1" t="n">
        <v>2648</v>
      </c>
      <c r="B2650" t="n">
        <v>2016</v>
      </c>
      <c r="C2650" s="2" t="n">
        <v>42615.92013888889</v>
      </c>
      <c r="D2650" t="inlineStr">
        <is>
          <t>G1</t>
        </is>
      </c>
      <c r="E2650" t="inlineStr">
        <is>
          <t>VENEZUELANOS</t>
        </is>
      </c>
      <c r="F2650" t="inlineStr"/>
      <c r="G2650" t="inlineStr">
        <is>
          <t>ELO MARQUESDO G1 RR</t>
        </is>
      </c>
      <c r="H2650" t="inlineStr">
        <is>
          <t>CLÍNICA ODONTOLÓGICA CLANDESTINA DE DENTISTA VENEZUELANA É FECHADA EM RR</t>
        </is>
      </c>
      <c r="I2650" t="inlineStr"/>
      <c r="J2650">
        <f>HYPERLINK("http://g1.globo.com/rr/roraima/noticia/2016/09/clinica-odontologica-clandestina-de-dentista-venezuelana-e-fechada-em-rr.html", "URL")</f>
        <v/>
      </c>
      <c r="K2650">
        <f>HYPERLINK("https://raw.githubusercontent.com/marcosmapl/dataset_imigrantes/main/noticias_filtered/g1/venezuelanos/2016/08_set/html/g1_be190a24-231f-11ed-b24f-6dbe51e79fca_3641.html", "HTML")</f>
        <v/>
      </c>
      <c r="L2650">
        <f>HYPERLINK("https://raw.githubusercontent.com/marcosmapl/dataset_imigrantes/main/noticias_filtered/g1/venezuelanos/2016/08_set/txt/g1_be190a24-231f-11ed-b24f-6dbe51e79fca_3641.txt", "TXT")</f>
        <v/>
      </c>
    </row>
    <row r="2651">
      <c r="A2651" s="1" t="n">
        <v>2649</v>
      </c>
      <c r="B2651" t="n">
        <v>2016</v>
      </c>
      <c r="C2651" s="2" t="n">
        <v>42615.53958333333</v>
      </c>
      <c r="D2651" t="inlineStr">
        <is>
          <t>G1</t>
        </is>
      </c>
      <c r="E2651" t="inlineStr">
        <is>
          <t>VENEZUELANOS</t>
        </is>
      </c>
      <c r="F2651" t="inlineStr"/>
      <c r="G2651" t="inlineStr">
        <is>
          <t>RANCE PRESSE</t>
        </is>
      </c>
      <c r="H2651" t="inlineStr">
        <is>
          <t>OPOSIÇÃO VENEZUELANA DENUNCIA PRISÃO DE PREFEITO APÓS MEGAPROTESTO</t>
        </is>
      </c>
      <c r="I2651" t="inlineStr"/>
      <c r="J2651">
        <f>HYPERLINK("http://g1.globo.com/mundo/noticia/2016/09/oposicao-venezuelana-denuncia-prisao-de-prefeito-apos-megaprotesto.html", "URL")</f>
        <v/>
      </c>
      <c r="K2651">
        <f>HYPERLINK("https://raw.githubusercontent.com/marcosmapl/dataset_imigrantes/main/noticias_filtered/g1/venezuelanos/2016/08_set/html/g1_e3700cc0-2322-11ed-b24f-6dbe51e79fca_3777.html", "HTML")</f>
        <v/>
      </c>
      <c r="L2651">
        <f>HYPERLINK("https://raw.githubusercontent.com/marcosmapl/dataset_imigrantes/main/noticias_filtered/g1/venezuelanos/2016/08_set/txt/g1_e3700cc0-2322-11ed-b24f-6dbe51e79fca_3777.txt", "TXT")</f>
        <v/>
      </c>
    </row>
    <row r="2652">
      <c r="A2652" s="1" t="n">
        <v>2650</v>
      </c>
      <c r="B2652" t="n">
        <v>2016</v>
      </c>
      <c r="C2652" s="2" t="n">
        <v>42614.6244212963</v>
      </c>
      <c r="D2652" t="inlineStr">
        <is>
          <t>A CRITICA</t>
        </is>
      </c>
      <c r="E2652" t="inlineStr">
        <is>
          <t>VENEZUELANOS</t>
        </is>
      </c>
      <c r="F2652" t="inlineStr"/>
      <c r="G2652" t="inlineStr">
        <is>
          <t>MONICA YANAKIEW - CORRESPONDENTE DA AGÊNCIA BRASIL</t>
        </is>
      </c>
      <c r="H2652" t="inlineStr">
        <is>
          <t>IMPEACHMENT DE DILMA DIVIDE OPINIÕES NA AMÉRICA LATINA</t>
        </is>
      </c>
      <c r="I2652" t="inlineStr">
        <is>
          <t>A REAÇÃO DOS PAÍSES VIZINHOS AO IMPEACHMENT DE DILMA ROUSSEFF VARIA DA CAUTELA (ARGENTINA E CHILE) ÀS CRÍTICAS SEVERAS (VENEZUELA, EQUADOR, BOLÍVIA)</t>
        </is>
      </c>
      <c r="J2652">
        <f>HYPERLINK("https://www.acritica.com/impeachment-de-dilma-divide-opini-es-na-america-latina-1.163624", "URL")</f>
        <v/>
      </c>
      <c r="K2652">
        <f>HYPERLINK("https://raw.githubusercontent.com/marcosmapl/dataset_imigrantes/main/noticias_filtered/a_critica/venezuelanos/2016/08_set/html/1.163624_122.html", "HTML")</f>
        <v/>
      </c>
      <c r="L2652">
        <f>HYPERLINK("https://raw.githubusercontent.com/marcosmapl/dataset_imigrantes/main/noticias_filtered/a_critica/venezuelanos/2016/08_set/txt/1.163624_122.txt", "TXT")</f>
        <v/>
      </c>
    </row>
    <row r="2653">
      <c r="A2653" s="1" t="n">
        <v>2651</v>
      </c>
      <c r="B2653" t="n">
        <v>2016</v>
      </c>
      <c r="C2653" s="2" t="n">
        <v>42614.56180555555</v>
      </c>
      <c r="D2653" t="inlineStr">
        <is>
          <t>G1</t>
        </is>
      </c>
      <c r="E2653" t="inlineStr">
        <is>
          <t>HAITIANOS</t>
        </is>
      </c>
      <c r="F2653" t="inlineStr"/>
      <c r="G2653" t="inlineStr">
        <is>
          <t>1 SOROCABA E JUNDIAÍ</t>
        </is>
      </c>
      <c r="H2653" t="inlineStr">
        <is>
          <t>PACIENTE HAITIANO SEM MEMÓRIA SERÁ ENTERRADO EM CEMITÉRIO DE JUNDIAÍ</t>
        </is>
      </c>
      <c r="I2653" t="inlineStr"/>
      <c r="J2653">
        <f>HYPERLINK("http://g1.globo.com/sao-paulo/sorocaba-jundiai/noticia/2016/09/corpo-de-haitiano-sem-memoria-e-enterrado-em-jundiai.html", "URL")</f>
        <v/>
      </c>
      <c r="K2653">
        <f>HYPERLINK("https://raw.githubusercontent.com/marcosmapl/dataset_imigrantes/main/noticias_filtered/g1/haitianos/2016/08_set/html/g1_015126fe-2326-11ed-b24f-6dbe51e79fca_3949.html", "HTML")</f>
        <v/>
      </c>
      <c r="L2653">
        <f>HYPERLINK("https://raw.githubusercontent.com/marcosmapl/dataset_imigrantes/main/noticias_filtered/g1/haitianos/2016/08_set/txt/g1_015126fe-2326-11ed-b24f-6dbe51e79fca_3949.txt", "TXT")</f>
        <v/>
      </c>
    </row>
    <row r="2654">
      <c r="A2654" s="1" t="n">
        <v>2652</v>
      </c>
      <c r="B2654" t="n">
        <v>2016</v>
      </c>
      <c r="C2654" s="2" t="n">
        <v>42613.46527777778</v>
      </c>
      <c r="D2654" t="inlineStr">
        <is>
          <t>G1</t>
        </is>
      </c>
      <c r="E2654" t="inlineStr">
        <is>
          <t>HAITIANOS</t>
        </is>
      </c>
      <c r="F2654" t="inlineStr"/>
      <c r="G2654" t="inlineStr">
        <is>
          <t>1 SC</t>
        </is>
      </c>
      <c r="H2654" t="inlineStr">
        <is>
          <t>EMPRESÁRIO É INDICIADO POR HOMICÍDIO APÓS ACIDENTE COM HAITIANOS EM ITAJAÍ</t>
        </is>
      </c>
      <c r="I2654" t="inlineStr"/>
      <c r="J2654">
        <f>HYPERLINK("http://g1.globo.com/sc/santa-catarina/noticia/2016/08/empresario-e-indiciado-por-homicidio-apos-acidente-com-haitianos-em-itajai.html", "URL")</f>
        <v/>
      </c>
      <c r="K2654">
        <f>HYPERLINK("https://raw.githubusercontent.com/marcosmapl/dataset_imigrantes/main/noticias_filtered/g1/haitianos/2016/07_ago/html/g1_633389ce-22fa-11ed-b24f-6dbe51e79fca_2216.html", "HTML")</f>
        <v/>
      </c>
      <c r="L2654">
        <f>HYPERLINK("https://raw.githubusercontent.com/marcosmapl/dataset_imigrantes/main/noticias_filtered/g1/haitianos/2016/07_ago/txt/g1_633389ce-22fa-11ed-b24f-6dbe51e79fca_2216.txt", "TXT")</f>
        <v/>
      </c>
    </row>
    <row r="2655">
      <c r="A2655" s="1" t="n">
        <v>2653</v>
      </c>
      <c r="B2655" t="n">
        <v>2016</v>
      </c>
      <c r="C2655" s="2" t="n">
        <v>42611.65416666667</v>
      </c>
      <c r="D2655" t="inlineStr">
        <is>
          <t>G1</t>
        </is>
      </c>
      <c r="E2655" t="inlineStr">
        <is>
          <t>VENEZUELANOS</t>
        </is>
      </c>
      <c r="F2655" t="inlineStr"/>
      <c r="G2655" t="inlineStr">
        <is>
          <t>RANCE PRESSE</t>
        </is>
      </c>
      <c r="H2655" t="inlineStr">
        <is>
          <t>GOVERNO VENEZUELANO PROÍBE VOOS PARTICULARES E DRONES POR UMA SEMANA</t>
        </is>
      </c>
      <c r="I2655" t="inlineStr"/>
      <c r="J2655">
        <f>HYPERLINK("http://g1.globo.com/mundo/noticia/2016/08/governo-venezuelano-proibe-voos-particulares-e-drones-por-uma-semana.html", "URL")</f>
        <v/>
      </c>
      <c r="K2655">
        <f>HYPERLINK("https://raw.githubusercontent.com/marcosmapl/dataset_imigrantes/main/noticias_filtered/g1/venezuelanos/2016/07_ago/html/g1_a7ced18c-231e-11ed-b24f-6dbe51e79fca_3575.html", "HTML")</f>
        <v/>
      </c>
      <c r="L2655">
        <f>HYPERLINK("https://raw.githubusercontent.com/marcosmapl/dataset_imigrantes/main/noticias_filtered/g1/venezuelanos/2016/07_ago/txt/g1_a7ced18c-231e-11ed-b24f-6dbe51e79fca_3575.txt", "TXT")</f>
        <v/>
      </c>
    </row>
    <row r="2656">
      <c r="A2656" s="1" t="n">
        <v>2654</v>
      </c>
      <c r="B2656" t="n">
        <v>2016</v>
      </c>
      <c r="C2656" s="2" t="n">
        <v>42608.58472222222</v>
      </c>
      <c r="D2656" t="inlineStr">
        <is>
          <t>G1</t>
        </is>
      </c>
      <c r="E2656" t="inlineStr">
        <is>
          <t>VENEZUELANOS</t>
        </is>
      </c>
      <c r="F2656" t="inlineStr"/>
      <c r="G2656" t="inlineStr">
        <is>
          <t>SON FÉLIX E EMILY COSTA DO G1 RR</t>
        </is>
      </c>
      <c r="H2656" t="inlineStr">
        <is>
          <t>VENEZUELANAS EM RR DIZEM QUE FORAM OBRIGADAS A TROCAR SEXO POR COMIDA</t>
        </is>
      </c>
      <c r="I2656" t="inlineStr"/>
      <c r="J2656">
        <f>HYPERLINK("http://g1.globo.com/rr/roraima/noticia/2016/08/venezuelanas-em-rr-dizem-que-foram-obrigadas-trocar-sexo-por-comida.html", "URL")</f>
        <v/>
      </c>
      <c r="K2656">
        <f>HYPERLINK("https://raw.githubusercontent.com/marcosmapl/dataset_imigrantes/main/noticias_filtered/g1/venezuelanos/2016/07_ago/html/g1_c9c3642a-231d-11ed-b24f-6dbe51e79fca_3520.html", "HTML")</f>
        <v/>
      </c>
      <c r="L2656">
        <f>HYPERLINK("https://raw.githubusercontent.com/marcosmapl/dataset_imigrantes/main/noticias_filtered/g1/venezuelanos/2016/07_ago/txt/g1_c9c3642a-231d-11ed-b24f-6dbe51e79fca_3520.txt", "TXT")</f>
        <v/>
      </c>
    </row>
    <row r="2657">
      <c r="A2657" s="1" t="n">
        <v>2655</v>
      </c>
      <c r="B2657" t="n">
        <v>2016</v>
      </c>
      <c r="C2657" s="2" t="n">
        <v>42605.52900462963</v>
      </c>
      <c r="D2657" t="inlineStr">
        <is>
          <t>A CRITICA</t>
        </is>
      </c>
      <c r="E2657" t="inlineStr">
        <is>
          <t>HAITIANOS</t>
        </is>
      </c>
      <c r="F2657" t="inlineStr"/>
      <c r="G2657" t="inlineStr">
        <is>
          <t>AGÊNCIA ANSA</t>
        </is>
      </c>
      <c r="H2657" t="inlineStr">
        <is>
          <t>PAPA FRANCISCO CONDENA EXPLORAÇÃO SEXUAL E TRÁFICO DE PESSOAS</t>
        </is>
      </c>
      <c r="I2657" t="inlineStr">
        <is>
          <t>"O TRÁFICO DE SERES HUMANOS, DE ÓRGÃOS, O TRABALHO FORÇADO E A PROSTITUIÇÃO SÃO ESCRAVIDÕES MODERNAS E CRIMES CONTRA A HUMANIDADE", ESCREVEU HOJE (23) O LÍDER CATÓLICO</t>
        </is>
      </c>
      <c r="J2657">
        <f>HYPERLINK("https://www.acritica.com/papa-francisco-condena-explorac-o-sexual-e-trafico-de-pessoas-1.109349", "URL")</f>
        <v/>
      </c>
      <c r="K2657">
        <f>HYPERLINK("https://raw.githubusercontent.com/marcosmapl/dataset_imigrantes/main/noticias_filtered/a_critica/haitianos/2016/07_ago/html/1.109349_153.html", "HTML")</f>
        <v/>
      </c>
      <c r="L2657">
        <f>HYPERLINK("https://raw.githubusercontent.com/marcosmapl/dataset_imigrantes/main/noticias_filtered/a_critica/haitianos/2016/07_ago/txt/1.109349_153.txt", "TXT")</f>
        <v/>
      </c>
    </row>
    <row r="2658">
      <c r="A2658" s="1" t="n">
        <v>2656</v>
      </c>
      <c r="B2658" t="n">
        <v>2016</v>
      </c>
      <c r="C2658" s="2" t="n">
        <v>42604.63106481481</v>
      </c>
      <c r="D2658" t="inlineStr">
        <is>
          <t>A CRITICA</t>
        </is>
      </c>
      <c r="E2658" t="inlineStr">
        <is>
          <t>VENEZUELANOS</t>
        </is>
      </c>
      <c r="F2658" t="inlineStr"/>
      <c r="G2658" t="inlineStr">
        <is>
          <t>MILAGROS RODRÍGUEZ –  ANSA BRASIL</t>
        </is>
      </c>
      <c r="H2658" t="inlineStr">
        <is>
          <t>CADA VEZ MAIS, VENEZUELANOS BUSCAM VIDA NOVA NO EXTERIOR</t>
        </is>
      </c>
      <c r="I2658" t="inlineStr">
        <is>
          <t>O ÊXODO QUE COMEÇOU EM 1984 SE ACENTUOU COM A CHEGADA DE HUGO CHÁVEZ AO PODER E SE APROFUNDOU NOS ÚLTIMOS MESES, APÓS ANOS SEGUIDOS DE CRISE ECONÔMICA E SOCIAL</t>
        </is>
      </c>
      <c r="J2658">
        <f>HYPERLINK("https://www.acritica.com/cada-vez-mais-venezuelanos-buscam-vida-nova-no-exterior-1.110183", "URL")</f>
        <v/>
      </c>
      <c r="K2658">
        <f>HYPERLINK("https://raw.githubusercontent.com/marcosmapl/dataset_imigrantes/main/noticias_filtered/a_critica/venezuelanos/2016/07_ago/html/1.110183_561.html", "HTML")</f>
        <v/>
      </c>
      <c r="L2658">
        <f>HYPERLINK("https://raw.githubusercontent.com/marcosmapl/dataset_imigrantes/main/noticias_filtered/a_critica/venezuelanos/2016/07_ago/txt/1.110183_561.txt", "TXT")</f>
        <v/>
      </c>
    </row>
    <row r="2659">
      <c r="A2659" s="1" t="n">
        <v>2657</v>
      </c>
      <c r="B2659" t="n">
        <v>2016</v>
      </c>
      <c r="C2659" s="2" t="n">
        <v>42603.80138888889</v>
      </c>
      <c r="D2659" t="inlineStr">
        <is>
          <t>G1</t>
        </is>
      </c>
      <c r="E2659" t="inlineStr">
        <is>
          <t>HAITIANOS</t>
        </is>
      </c>
      <c r="F2659" t="inlineStr"/>
      <c r="G2659" t="inlineStr">
        <is>
          <t>1 RO</t>
        </is>
      </c>
      <c r="H2659" t="inlineStr">
        <is>
          <t>CICLISTA MORRE AO SER ATROPELADO NA BR-364 POR CAMIONETE, EM RO</t>
        </is>
      </c>
      <c r="I2659" t="inlineStr"/>
      <c r="J2659">
        <f>HYPERLINK("http://g1.globo.com/ro/rondonia/noticia/2016/08/ciclista-morre-ao-ser-atropelado-na-br-364-por-camionete-em-ro.html", "URL")</f>
        <v/>
      </c>
      <c r="K2659">
        <f>HYPERLINK("https://raw.githubusercontent.com/marcosmapl/dataset_imigrantes/main/noticias_filtered/g1/haitianos/2016/07_ago/html/g1_5d3ca540-230f-11ed-b24f-6dbe51e79fca_2791.html", "HTML")</f>
        <v/>
      </c>
      <c r="L2659">
        <f>HYPERLINK("https://raw.githubusercontent.com/marcosmapl/dataset_imigrantes/main/noticias_filtered/g1/haitianos/2016/07_ago/txt/g1_5d3ca540-230f-11ed-b24f-6dbe51e79fca_2791.txt", "TXT")</f>
        <v/>
      </c>
    </row>
    <row r="2660">
      <c r="A2660" s="1" t="n">
        <v>2658</v>
      </c>
      <c r="B2660" t="n">
        <v>2016</v>
      </c>
      <c r="C2660" s="2" t="n">
        <v>42603.58680555555</v>
      </c>
      <c r="D2660" t="inlineStr">
        <is>
          <t>A CRITICA</t>
        </is>
      </c>
      <c r="E2660" t="inlineStr">
        <is>
          <t>VENEZUELANOS</t>
        </is>
      </c>
      <c r="F2660" t="inlineStr">
        <is>
          <t>ENTRETENIMENTO</t>
        </is>
      </c>
      <c r="G2660" t="inlineStr">
        <is>
          <t>VINICIUS LEAL</t>
        </is>
      </c>
      <c r="H2660" t="inlineStr">
        <is>
          <t>ATRIZ AMAZONENSE BRILHA EM SÉRIE DE TV NA EUROPA E TENTA CARREIRA EM HOLLYWOOD</t>
        </is>
      </c>
      <c r="I2660" t="inlineStr">
        <is>
          <t>FERNANDA DINIZ, 30, NATURAL DE MANAUS, É POUCO CONHECIDA ENTRE O PÚBLICO MANAUARA, MAS JÁ TEM TRABALHOS IMPORTANTES COMO ATRIZ E MODELO NO BRASIL E PELO MUNDO AFORA</t>
        </is>
      </c>
      <c r="J2660">
        <f>HYPERLINK("https://www.acritica.com/entretenimento/atriz-amazonense-brilha-em-serie-de-tv-na-europa-e-tenta-carreira-em-hollywood-1.160310", "URL")</f>
        <v/>
      </c>
      <c r="K2660">
        <f>HYPERLINK("https://raw.githubusercontent.com/marcosmapl/dataset_imigrantes/main/noticias_filtered/a_critica/venezuelanos/2016/07_ago/html/1.160310_802.html", "HTML")</f>
        <v/>
      </c>
      <c r="L2660">
        <f>HYPERLINK("https://raw.githubusercontent.com/marcosmapl/dataset_imigrantes/main/noticias_filtered/a_critica/venezuelanos/2016/07_ago/txt/1.160310_802.txt", "TXT")</f>
        <v/>
      </c>
    </row>
    <row r="2661">
      <c r="A2661" s="1" t="n">
        <v>2659</v>
      </c>
      <c r="B2661" t="n">
        <v>2016</v>
      </c>
      <c r="C2661" s="2" t="n">
        <v>42601.575</v>
      </c>
      <c r="D2661" t="inlineStr">
        <is>
          <t>A CRITICA</t>
        </is>
      </c>
      <c r="E2661" t="inlineStr">
        <is>
          <t>VENEZUELANOS</t>
        </is>
      </c>
      <c r="F2661" t="inlineStr">
        <is>
          <t>ENTRETENIMENTO</t>
        </is>
      </c>
      <c r="G2661" t="inlineStr">
        <is>
          <t>MAYRLLA MOTTA</t>
        </is>
      </c>
      <c r="H2661" t="inlineStr">
        <is>
          <t>CARLOS NAVARRO: MEIO SÉCULO DEDICADO AO PROGRESSO DA FOTOGRAFIA</t>
        </is>
      </c>
      <c r="I2661" t="inlineStr">
        <is>
          <t>VINDO DE BARCELONA, NA ESPANHA, O VENEZUELANO CHEGOU NA CAPITAL AMAZONENSE EM MEADOS DE 1973 PARA ASSUMIR A DIREÇÃO DA ANTIGA FÁBRICA DE REVELAÇÃO DE FOTOS A CORES, A SONORA.</t>
        </is>
      </c>
      <c r="J2661">
        <f>HYPERLINK("https://www.acritica.com/entretenimento/carlos-navarro-meio-seculo-dedicado-ao-progresso-da-fotografia-1.109557", "URL")</f>
        <v/>
      </c>
      <c r="K2661">
        <f>HYPERLINK("https://raw.githubusercontent.com/marcosmapl/dataset_imigrantes/main/noticias_filtered/a_critica/venezuelanos/2016/07_ago/html/1.109557_613.html", "HTML")</f>
        <v/>
      </c>
      <c r="L2661">
        <f>HYPERLINK("https://raw.githubusercontent.com/marcosmapl/dataset_imigrantes/main/noticias_filtered/a_critica/venezuelanos/2016/07_ago/txt/1.109557_613.txt", "TXT")</f>
        <v/>
      </c>
    </row>
    <row r="2662">
      <c r="A2662" s="1" t="n">
        <v>2660</v>
      </c>
      <c r="B2662" t="n">
        <v>2016</v>
      </c>
      <c r="C2662" s="2" t="n">
        <v>42599.02430555555</v>
      </c>
      <c r="D2662" t="inlineStr">
        <is>
          <t>A CRITICA</t>
        </is>
      </c>
      <c r="E2662" t="inlineStr">
        <is>
          <t>VENEZUELANOS</t>
        </is>
      </c>
      <c r="F2662" t="inlineStr">
        <is>
          <t>ENTRETENIMENTO</t>
        </is>
      </c>
      <c r="G2662" t="inlineStr">
        <is>
          <t>ACRÍTICA.COM</t>
        </is>
      </c>
      <c r="H2662" t="inlineStr">
        <is>
          <t>2ª MOSTRA DE CINEMA VENEZUELANO COMEÇA NESTA QUARTA, COM ENTRADA FRANCA</t>
        </is>
      </c>
      <c r="I2662" t="inlineStr">
        <is>
          <t>AS SESSÕES ACONTECEM ENTRE OS DIAS 17 A 19 DE AGOSTO, SEMPRE ÀS 18H30, NO TEATRO GEBES MEDEIROS, LOCALIZADO DENTRO DO IDEAL CLUBE, NO CENTRO DE MANAUS, COM ENTRADA FRANCA</t>
        </is>
      </c>
      <c r="J2662">
        <f>HYPERLINK("https://www.acritica.com/entretenimento/2-mostra-de-cinema-venezuelano-comeca-nesta-quarta-com-entrada-franca-1.112775", "URL")</f>
        <v/>
      </c>
      <c r="K2662">
        <f>HYPERLINK("https://raw.githubusercontent.com/marcosmapl/dataset_imigrantes/main/noticias_filtered/a_critica/venezuelanos/2016/07_ago/html/1.112775_1278.html", "HTML")</f>
        <v/>
      </c>
      <c r="L2662">
        <f>HYPERLINK("https://raw.githubusercontent.com/marcosmapl/dataset_imigrantes/main/noticias_filtered/a_critica/venezuelanos/2016/07_ago/txt/1.112775_1278.txt", "TXT")</f>
        <v/>
      </c>
    </row>
    <row r="2663">
      <c r="A2663" s="1" t="n">
        <v>2661</v>
      </c>
      <c r="B2663" t="n">
        <v>2016</v>
      </c>
      <c r="C2663" s="2" t="n">
        <v>42595.94375</v>
      </c>
      <c r="D2663" t="inlineStr">
        <is>
          <t>G1</t>
        </is>
      </c>
      <c r="E2663" t="inlineStr">
        <is>
          <t>VENEZUELANOS</t>
        </is>
      </c>
      <c r="F2663" t="inlineStr"/>
      <c r="G2663" t="inlineStr">
        <is>
          <t>FP</t>
        </is>
      </c>
      <c r="H2663" t="inlineStr">
        <is>
          <t>ANISTIA CRITICA JUSTIÇA VENEZUELANA POR CONFIRMAR CONDENAÇÃO DE LÓPEZ</t>
        </is>
      </c>
      <c r="I2663" t="inlineStr"/>
      <c r="J2663">
        <f>HYPERLINK("http://g1.globo.com/mundo/noticia/2016/08/anistia-critica-justica-venezuelana-por-confirmar-condenacao-de-lopez.html", "URL")</f>
        <v/>
      </c>
      <c r="K2663">
        <f>HYPERLINK("https://raw.githubusercontent.com/marcosmapl/dataset_imigrantes/main/noticias_filtered/g1/venezuelanos/2016/07_ago/html/g1_8f38484e-230d-11ed-b24f-6dbe51e79fca_2695.html", "HTML")</f>
        <v/>
      </c>
      <c r="L2663">
        <f>HYPERLINK("https://raw.githubusercontent.com/marcosmapl/dataset_imigrantes/main/noticias_filtered/g1/venezuelanos/2016/07_ago/txt/g1_8f38484e-230d-11ed-b24f-6dbe51e79fca_2695.txt", "TXT")</f>
        <v/>
      </c>
    </row>
    <row r="2664">
      <c r="A2664" s="1" t="n">
        <v>2662</v>
      </c>
      <c r="B2664" t="n">
        <v>2016</v>
      </c>
      <c r="C2664" s="2" t="n">
        <v>42593.94375</v>
      </c>
      <c r="D2664" t="inlineStr">
        <is>
          <t>G1</t>
        </is>
      </c>
      <c r="E2664" t="inlineStr">
        <is>
          <t>VENEZUELANOS</t>
        </is>
      </c>
      <c r="F2664" t="inlineStr"/>
      <c r="G2664" t="inlineStr">
        <is>
          <t>1 AM</t>
        </is>
      </c>
      <c r="H2664" t="inlineStr">
        <is>
          <t>II MOSTRA DE CINEMA VENEZUELANO SERÁ REALIZADA EM MANAUS</t>
        </is>
      </c>
      <c r="I2664" t="inlineStr"/>
      <c r="J2664">
        <f>HYPERLINK("http://g1.globo.com/am/amazonas/manaus-acontece/noticia/2016/08/ii-mostra-de-cinema-venezuelano-sera-realizada-em-manaus.html", "URL")</f>
        <v/>
      </c>
      <c r="K2664">
        <f>HYPERLINK("https://raw.githubusercontent.com/marcosmapl/dataset_imigrantes/main/noticias_filtered/g1/venezuelanos/2016/07_ago/html/g1_68f8a41c-2317-11ed-b24f-6dbe51e79fca_3205.html", "HTML")</f>
        <v/>
      </c>
      <c r="L2664">
        <f>HYPERLINK("https://raw.githubusercontent.com/marcosmapl/dataset_imigrantes/main/noticias_filtered/g1/venezuelanos/2016/07_ago/txt/g1_68f8a41c-2317-11ed-b24f-6dbe51e79fca_3205.txt", "TXT")</f>
        <v/>
      </c>
    </row>
    <row r="2665">
      <c r="A2665" s="1" t="n">
        <v>2663</v>
      </c>
      <c r="B2665" t="n">
        <v>2016</v>
      </c>
      <c r="C2665" s="2" t="n">
        <v>42590.54565972222</v>
      </c>
      <c r="D2665" t="inlineStr">
        <is>
          <t>A CRITICA</t>
        </is>
      </c>
      <c r="E2665" t="inlineStr">
        <is>
          <t>VENEZUELANOS</t>
        </is>
      </c>
      <c r="F2665" t="inlineStr"/>
      <c r="G2665" t="inlineStr">
        <is>
          <t>VITOR ABDALA –  AGÊNCIA BRASIL</t>
        </is>
      </c>
      <c r="H2665" t="inlineStr">
        <is>
          <t>TRÊS TURISTAS ESTRANGEIROS TÊM PRISÃO DECRETADA POR SUSPEITA DE FURTO NO RIO</t>
        </is>
      </c>
      <c r="I2665" t="inlineStr">
        <is>
          <t>UM VENEZUELANO, UM PERUANO E UMA COLOMBIANA SÃO SUSPEITOS DE FURTAR CÂMERAS E LENTES PROFISSIONAIS EM UM BAR DE IPANEMA, NA ZONA SUL DA CIDADE DO RIO DE JANEIRO</t>
        </is>
      </c>
      <c r="J2665">
        <f>HYPERLINK("https://www.acritica.com/tres-turistas-estrangeiros-tem-pris-o-decretada-por-suspeita-de-furto-no-rio-1.110035", "URL")</f>
        <v/>
      </c>
      <c r="K2665">
        <f>HYPERLINK("https://raw.githubusercontent.com/marcosmapl/dataset_imigrantes/main/noticias_filtered/a_critica/venezuelanos/2016/07_ago/html/1.110035_775.html", "HTML")</f>
        <v/>
      </c>
      <c r="L2665">
        <f>HYPERLINK("https://raw.githubusercontent.com/marcosmapl/dataset_imigrantes/main/noticias_filtered/a_critica/venezuelanos/2016/07_ago/txt/1.110035_775.txt", "TXT")</f>
        <v/>
      </c>
    </row>
    <row r="2666">
      <c r="A2666" s="1" t="n">
        <v>2664</v>
      </c>
      <c r="B2666" t="n">
        <v>2016</v>
      </c>
      <c r="C2666" s="2" t="n">
        <v>42588.47569444445</v>
      </c>
      <c r="D2666" t="inlineStr">
        <is>
          <t>G1</t>
        </is>
      </c>
      <c r="E2666" t="inlineStr">
        <is>
          <t>VENEZUELANOS</t>
        </is>
      </c>
      <c r="F2666" t="inlineStr"/>
      <c r="G2666" t="inlineStr">
        <is>
          <t>SON FÉLIXDO G1 RR</t>
        </is>
      </c>
      <c r="H2666" t="inlineStr">
        <is>
          <t>VENEZUELANA É PRESA EM RR COM SETE PEDRAS DE CRACK ESCONDIDAS NA VAGINA</t>
        </is>
      </c>
      <c r="I2666" t="inlineStr"/>
      <c r="J2666">
        <f>HYPERLINK("http://g1.globo.com/rr/roraima/noticia/2016/08/venezuelana-e-presa-em-rr-com-sete-pedras-de-crack-escondidas-na-vagina.html", "URL")</f>
        <v/>
      </c>
      <c r="K2666">
        <f>HYPERLINK("https://raw.githubusercontent.com/marcosmapl/dataset_imigrantes/main/noticias_filtered/g1/venezuelanos/2016/07_ago/html/g1_ed869508-2313-11ed-b24f-6dbe51e79fca_3036.html", "HTML")</f>
        <v/>
      </c>
      <c r="L2666">
        <f>HYPERLINK("https://raw.githubusercontent.com/marcosmapl/dataset_imigrantes/main/noticias_filtered/g1/venezuelanos/2016/07_ago/txt/g1_ed869508-2313-11ed-b24f-6dbe51e79fca_3036.txt", "TXT")</f>
        <v/>
      </c>
    </row>
    <row r="2667">
      <c r="A2667" s="1" t="n">
        <v>2665</v>
      </c>
      <c r="B2667" t="n">
        <v>2016</v>
      </c>
      <c r="C2667" s="2" t="n">
        <v>42587.88002314815</v>
      </c>
      <c r="D2667" t="inlineStr">
        <is>
          <t>A CRITICA</t>
        </is>
      </c>
      <c r="E2667" t="inlineStr">
        <is>
          <t>VENEZUELANOS</t>
        </is>
      </c>
      <c r="F2667" t="inlineStr"/>
      <c r="G2667" t="inlineStr">
        <is>
          <t>FLÁVIA VILLELA - AGÊNCIA BRASIL</t>
        </is>
      </c>
      <c r="H2667" t="inlineStr">
        <is>
          <t>SERRA E KERRY DIZEM QUE RELAÇÃO BRASIL-EUA ENTRA EM NOVA FASE</t>
        </is>
      </c>
      <c r="I2667" t="inlineStr">
        <is>
          <t>JOHN KERRY DISSE QUE BRASIL E ESTADOS UNIDOS SÃO PARCEIROS NATURAIS E QUE O OBJETIVO DO ENCONTRO BILATERAL FOI APROFUNDAR ESTA RELAÇÃO</t>
        </is>
      </c>
      <c r="J2667">
        <f>HYPERLINK("https://www.acritica.com/serra-e-kerry-dizem-que-relac-o-brasil-eua-entra-em-nova-fase-1.110097", "URL")</f>
        <v/>
      </c>
      <c r="K2667">
        <f>HYPERLINK("https://raw.githubusercontent.com/marcosmapl/dataset_imigrantes/main/noticias_filtered/a_critica/venezuelanos/2016/07_ago/html/1.110097_271.html", "HTML")</f>
        <v/>
      </c>
      <c r="L2667">
        <f>HYPERLINK("https://raw.githubusercontent.com/marcosmapl/dataset_imigrantes/main/noticias_filtered/a_critica/venezuelanos/2016/07_ago/txt/1.110097_271.txt", "TXT")</f>
        <v/>
      </c>
    </row>
    <row r="2668">
      <c r="A2668" s="1" t="n">
        <v>2666</v>
      </c>
      <c r="B2668" t="n">
        <v>2016</v>
      </c>
      <c r="C2668" s="2" t="n">
        <v>42586.05347222222</v>
      </c>
      <c r="D2668" t="inlineStr">
        <is>
          <t>A CRITICA</t>
        </is>
      </c>
      <c r="E2668" t="inlineStr">
        <is>
          <t>VENEZUELANOS</t>
        </is>
      </c>
      <c r="F2668" t="inlineStr">
        <is>
          <t>MANAUS</t>
        </is>
      </c>
      <c r="G2668" t="inlineStr">
        <is>
          <t>KELLY MELO</t>
        </is>
      </c>
      <c r="H2668" t="inlineStr">
        <is>
          <t>TURISMO CONTINUA TÍMIDO NA VÉSPERA DOS JOGOS NA ARENA AMAZÔNIA</t>
        </is>
      </c>
      <c r="I2668" t="inlineStr">
        <is>
          <t>DIFERENTE DAS BALADAS E DO MOVIMENTO EXPERIMENTADO DURANTE A COPA DO MUNDO, QUANDO MANAUS FOI A SEDE MAIS DESTACADA, DESSA VEZ O NÚMERO DE TURISTAS É PEQUENO, MAS COMÉRCIO ESPERA QUE TUDO MUDE NESTA QUINTA</t>
        </is>
      </c>
      <c r="J2668">
        <f>HYPERLINK("https://www.acritica.com/manaus/turismo-continua-timido-na-vespera-dos-jogos-na-arena-amazonia-1.159610", "URL")</f>
        <v/>
      </c>
      <c r="K2668">
        <f>HYPERLINK("https://raw.githubusercontent.com/marcosmapl/dataset_imigrantes/main/noticias_filtered/a_critica/venezuelanos/2016/07_ago/html/1.159610_520.html", "HTML")</f>
        <v/>
      </c>
      <c r="L2668">
        <f>HYPERLINK("https://raw.githubusercontent.com/marcosmapl/dataset_imigrantes/main/noticias_filtered/a_critica/venezuelanos/2016/07_ago/txt/1.159610_520.txt", "TXT")</f>
        <v/>
      </c>
    </row>
    <row r="2669">
      <c r="A2669" s="1" t="n">
        <v>2667</v>
      </c>
      <c r="B2669" t="n">
        <v>2016</v>
      </c>
      <c r="C2669" s="2" t="n">
        <v>42583.65416666667</v>
      </c>
      <c r="D2669" t="inlineStr">
        <is>
          <t>G1</t>
        </is>
      </c>
      <c r="E2669" t="inlineStr">
        <is>
          <t>VENEZUELANOS</t>
        </is>
      </c>
      <c r="F2669" t="inlineStr"/>
      <c r="G2669" t="inlineStr">
        <is>
          <t>RANCE PRESSE</t>
        </is>
      </c>
      <c r="H2669" t="inlineStr">
        <is>
          <t>PARAGUAI NÃO RECONHECE PRESIDÊNCIA VENEZUELANA NO MERCOSUL</t>
        </is>
      </c>
      <c r="I2669" t="inlineStr"/>
      <c r="J2669">
        <f>HYPERLINK("http://g1.globo.com/mundo/noticia/2016/08/paraguai-nao-reconhece-presidencia-venezuelana-no-mercosul.html", "URL")</f>
        <v/>
      </c>
      <c r="K2669">
        <f>HYPERLINK("https://raw.githubusercontent.com/marcosmapl/dataset_imigrantes/main/noticias_filtered/g1/venezuelanos/2016/07_ago/html/g1_52e85984-2307-11ed-b24f-6dbe51e79fca_2311.html", "HTML")</f>
        <v/>
      </c>
      <c r="L2669">
        <f>HYPERLINK("https://raw.githubusercontent.com/marcosmapl/dataset_imigrantes/main/noticias_filtered/g1/venezuelanos/2016/07_ago/txt/g1_52e85984-2307-11ed-b24f-6dbe51e79fca_2311.txt", "TXT")</f>
        <v/>
      </c>
    </row>
    <row r="2670">
      <c r="A2670" s="1" t="n">
        <v>2668</v>
      </c>
      <c r="B2670" t="n">
        <v>2016</v>
      </c>
      <c r="C2670" s="2" t="n">
        <v>42581.76180555556</v>
      </c>
      <c r="D2670" t="inlineStr">
        <is>
          <t>G1</t>
        </is>
      </c>
      <c r="E2670" t="inlineStr">
        <is>
          <t>HAITIANOS</t>
        </is>
      </c>
      <c r="F2670" t="inlineStr"/>
      <c r="G2670" t="inlineStr">
        <is>
          <t>1 SC</t>
        </is>
      </c>
      <c r="H2670" t="inlineStr">
        <is>
          <t>INTERNADO NA UTI, HAITIANO QUEIMADO EM EXPLOSÃO JÁ PASSOU POR 7 CIRURGIAS</t>
        </is>
      </c>
      <c r="I2670" t="inlineStr"/>
      <c r="J2670">
        <f>HYPERLINK("http://g1.globo.com/sc/santa-catarina/noticia/2016/07/internado-na-uti-haitiano-queimado-em-explosao-ja-passou-por-7-cirurgias.html", "URL")</f>
        <v/>
      </c>
      <c r="K2670">
        <f>HYPERLINK("https://raw.githubusercontent.com/marcosmapl/dataset_imigrantes/main/noticias_filtered/g1/haitianos/2016/06_jul/html/g1_1fa50690-22f7-11ed-b24f-6dbe51e79fca_2061.html", "HTML")</f>
        <v/>
      </c>
      <c r="L2670">
        <f>HYPERLINK("https://raw.githubusercontent.com/marcosmapl/dataset_imigrantes/main/noticias_filtered/g1/haitianos/2016/06_jul/txt/g1_1fa50690-22f7-11ed-b24f-6dbe51e79fca_2061.txt", "TXT")</f>
        <v/>
      </c>
    </row>
    <row r="2671">
      <c r="A2671" s="1" t="n">
        <v>2669</v>
      </c>
      <c r="B2671" t="n">
        <v>2016</v>
      </c>
      <c r="C2671" s="2" t="n">
        <v>42578.30208333334</v>
      </c>
      <c r="D2671" t="inlineStr">
        <is>
          <t>G1</t>
        </is>
      </c>
      <c r="E2671" t="inlineStr">
        <is>
          <t>HAITIANOS</t>
        </is>
      </c>
      <c r="F2671" t="inlineStr"/>
      <c r="G2671" t="inlineStr">
        <is>
          <t>DA CAMPOSDO G1 SOROCABA E JUNDIAÍ</t>
        </is>
      </c>
      <c r="H2671" t="inlineStr">
        <is>
          <t>HÁ 5 ANOS NO BRASIL, HAITIANO TENTA TRAZER FILHA: 'PENSO NELA E PERCO O SONO'</t>
        </is>
      </c>
      <c r="I2671" t="inlineStr"/>
      <c r="J2671">
        <f>HYPERLINK("http://g1.globo.com/sao-paulo/sorocaba-jundiai/noticia/2016/07/ha-5-anos-no-brasil-haitiano-tenta-trazer-filha-penso-nela-e-perco-o-sono.html", "URL")</f>
        <v/>
      </c>
      <c r="K2671">
        <f>HYPERLINK("https://raw.githubusercontent.com/marcosmapl/dataset_imigrantes/main/noticias_filtered/g1/haitianos/2016/06_jul/html/g1_d4400950-231b-11ed-b24f-6dbe51e79fca_3410.html", "HTML")</f>
        <v/>
      </c>
      <c r="L2671">
        <f>HYPERLINK("https://raw.githubusercontent.com/marcosmapl/dataset_imigrantes/main/noticias_filtered/g1/haitianos/2016/06_jul/txt/g1_d4400950-231b-11ed-b24f-6dbe51e79fca_3410.txt", "TXT")</f>
        <v/>
      </c>
    </row>
    <row r="2672">
      <c r="A2672" s="1" t="n">
        <v>2670</v>
      </c>
      <c r="B2672" t="n">
        <v>2016</v>
      </c>
      <c r="C2672" s="2" t="n">
        <v>42576.84513888889</v>
      </c>
      <c r="D2672" t="inlineStr">
        <is>
          <t>G1</t>
        </is>
      </c>
      <c r="E2672" t="inlineStr">
        <is>
          <t>HAITIANOS</t>
        </is>
      </c>
      <c r="F2672" t="inlineStr"/>
      <c r="G2672" t="inlineStr">
        <is>
          <t>1 SC</t>
        </is>
      </c>
      <c r="H2672" t="inlineStr">
        <is>
          <t>POLÍCIA OUVE TESTEMUNHAS SOBRE MORTE DE BEBÊ FILHA DE HAITIANOS</t>
        </is>
      </c>
      <c r="I2672" t="inlineStr"/>
      <c r="J2672">
        <f>HYPERLINK("http://g1.globo.com/sc/santa-catarina/noticia/2016/07/policia-ouve-testemunhas-sobre-morte-de-bebe-filha-de-haitianos.html", "URL")</f>
        <v/>
      </c>
      <c r="K2672">
        <f>HYPERLINK("https://raw.githubusercontent.com/marcosmapl/dataset_imigrantes/main/noticias_filtered/g1/haitianos/2016/06_jul/html/g1_8c376390-22fa-11ed-b24f-6dbe51e79fca_2227.html", "HTML")</f>
        <v/>
      </c>
      <c r="L2672">
        <f>HYPERLINK("https://raw.githubusercontent.com/marcosmapl/dataset_imigrantes/main/noticias_filtered/g1/haitianos/2016/06_jul/txt/g1_8c376390-22fa-11ed-b24f-6dbe51e79fca_2227.txt", "TXT")</f>
        <v/>
      </c>
    </row>
    <row r="2673">
      <c r="A2673" s="1" t="n">
        <v>2671</v>
      </c>
      <c r="B2673" t="n">
        <v>2016</v>
      </c>
      <c r="C2673" s="2" t="n">
        <v>42576.56180555555</v>
      </c>
      <c r="D2673" t="inlineStr">
        <is>
          <t>G1</t>
        </is>
      </c>
      <c r="E2673" t="inlineStr">
        <is>
          <t>HAITIANOS</t>
        </is>
      </c>
      <c r="F2673" t="inlineStr"/>
      <c r="G2673" t="inlineStr">
        <is>
          <t>1 SC</t>
        </is>
      </c>
      <c r="H2673" t="inlineStr">
        <is>
          <t>HAITIANO QUEIMADO EM ACIDENTE DE TRABALHO MORRE EM HOSPITAL EM ITAJAÍ</t>
        </is>
      </c>
      <c r="I2673" t="inlineStr"/>
      <c r="J2673">
        <f>HYPERLINK("http://g1.globo.com/sc/santa-catarina/noticia/2016/07/haitiano-queimado-em-acidente-de-trabalho-morre-em-hospital-em-itajai.html", "URL")</f>
        <v/>
      </c>
      <c r="K2673">
        <f>HYPERLINK("https://raw.githubusercontent.com/marcosmapl/dataset_imigrantes/main/noticias_filtered/g1/haitianos/2016/06_jul/html/g1_913f2080-22f0-11ed-b24f-6dbe51e79fca_1710.html", "HTML")</f>
        <v/>
      </c>
      <c r="L2673">
        <f>HYPERLINK("https://raw.githubusercontent.com/marcosmapl/dataset_imigrantes/main/noticias_filtered/g1/haitianos/2016/06_jul/txt/g1_913f2080-22f0-11ed-b24f-6dbe51e79fca_1710.txt", "TXT")</f>
        <v/>
      </c>
    </row>
    <row r="2674">
      <c r="A2674" s="1" t="n">
        <v>2672</v>
      </c>
      <c r="B2674" t="n">
        <v>2016</v>
      </c>
      <c r="C2674" s="2" t="n">
        <v>42573.62291666667</v>
      </c>
      <c r="D2674" t="inlineStr">
        <is>
          <t>G1</t>
        </is>
      </c>
      <c r="E2674" t="inlineStr">
        <is>
          <t>HAITIANOS</t>
        </is>
      </c>
      <c r="F2674" t="inlineStr"/>
      <c r="G2674" t="inlineStr">
        <is>
          <t>1 SC</t>
        </is>
      </c>
      <c r="H2674" t="inlineStr">
        <is>
          <t>COM RELATOS DE PRECONCEITO E FALTA DE EMPREGO, MUITOS HAITIANOS DEIXAM SC</t>
        </is>
      </c>
      <c r="I2674" t="inlineStr"/>
      <c r="J2674">
        <f>HYPERLINK("http://g1.globo.com/sc/santa-catarina/noticia/2016/07/preconceito-e-desemprego-fazem-haitianos-deixarem-sc-tratam-mal.html", "URL")</f>
        <v/>
      </c>
      <c r="K2674">
        <f>HYPERLINK("https://raw.githubusercontent.com/marcosmapl/dataset_imigrantes/main/noticias_filtered/g1/haitianos/2016/06_jul/html/g1_592ef118-22f3-11ed-b24f-6dbe51e79fca_1837.html", "HTML")</f>
        <v/>
      </c>
      <c r="L2674">
        <f>HYPERLINK("https://raw.githubusercontent.com/marcosmapl/dataset_imigrantes/main/noticias_filtered/g1/haitianos/2016/06_jul/txt/g1_592ef118-22f3-11ed-b24f-6dbe51e79fca_1837.txt", "TXT")</f>
        <v/>
      </c>
    </row>
    <row r="2675">
      <c r="A2675" s="1" t="n">
        <v>2673</v>
      </c>
      <c r="B2675" t="n">
        <v>2016</v>
      </c>
      <c r="C2675" s="2" t="n">
        <v>42572.50625</v>
      </c>
      <c r="D2675" t="inlineStr">
        <is>
          <t>G1</t>
        </is>
      </c>
      <c r="E2675" t="inlineStr">
        <is>
          <t>HAITIANOS</t>
        </is>
      </c>
      <c r="F2675" t="inlineStr"/>
      <c r="G2675" t="inlineStr">
        <is>
          <t>1 SC</t>
        </is>
      </c>
      <c r="H2675" t="inlineStr">
        <is>
          <t>TRANSFERÊNCIA DE HAITIANOS EM ESTADO GRAVE PARA ALA DE QUEIMADOS É INCERTA</t>
        </is>
      </c>
      <c r="I2675" t="inlineStr"/>
      <c r="J2675">
        <f>HYPERLINK("http://g1.globo.com/sc/santa-catarina/noticia/2016/07/transferencia-de-haitianos-em-estado-grave-para-ala-de-queimados-e-incerta.html", "URL")</f>
        <v/>
      </c>
      <c r="K2675">
        <f>HYPERLINK("https://raw.githubusercontent.com/marcosmapl/dataset_imigrantes/main/noticias_filtered/g1/haitianos/2016/06_jul/html/g1_7e279b90-22f9-11ed-b24f-6dbe51e79fca_2165.html", "HTML")</f>
        <v/>
      </c>
      <c r="L2675">
        <f>HYPERLINK("https://raw.githubusercontent.com/marcosmapl/dataset_imigrantes/main/noticias_filtered/g1/haitianos/2016/06_jul/txt/g1_7e279b90-22f9-11ed-b24f-6dbe51e79fca_2165.txt", "TXT")</f>
        <v/>
      </c>
    </row>
    <row r="2676">
      <c r="A2676" s="1" t="n">
        <v>2674</v>
      </c>
      <c r="B2676" t="n">
        <v>2016</v>
      </c>
      <c r="C2676" s="2" t="n">
        <v>42571.67708333334</v>
      </c>
      <c r="D2676" t="inlineStr">
        <is>
          <t>G1</t>
        </is>
      </c>
      <c r="E2676" t="inlineStr">
        <is>
          <t>HAITIANOS</t>
        </is>
      </c>
      <c r="F2676" t="inlineStr"/>
      <c r="G2676" t="inlineStr">
        <is>
          <t>1 SC</t>
        </is>
      </c>
      <c r="H2676" t="inlineStr">
        <is>
          <t>POLÍCIA DE SC APURA MORTE DE BEBÊ DE HAITIANOS QUE PASSOU MAL EM CRECHE</t>
        </is>
      </c>
      <c r="I2676" t="inlineStr"/>
      <c r="J2676">
        <f>HYPERLINK("http://g1.globo.com/sc/santa-catarina/noticia/2016/07/policia-de-sc-apura-morte-de-bebe-de-haitianos-apos-passar-mal-em-creche.html", "URL")</f>
        <v/>
      </c>
      <c r="K2676">
        <f>HYPERLINK("https://raw.githubusercontent.com/marcosmapl/dataset_imigrantes/main/noticias_filtered/g1/haitianos/2016/06_jul/html/g1_15b9a140-22f7-11ed-b24f-6dbe51e79fca_2058.html", "HTML")</f>
        <v/>
      </c>
      <c r="L2676">
        <f>HYPERLINK("https://raw.githubusercontent.com/marcosmapl/dataset_imigrantes/main/noticias_filtered/g1/haitianos/2016/06_jul/txt/g1_15b9a140-22f7-11ed-b24f-6dbe51e79fca_2058.txt", "TXT")</f>
        <v/>
      </c>
    </row>
    <row r="2677">
      <c r="A2677" s="1" t="n">
        <v>2675</v>
      </c>
      <c r="B2677" t="n">
        <v>2016</v>
      </c>
      <c r="C2677" s="2" t="n">
        <v>42571.48888888889</v>
      </c>
      <c r="D2677" t="inlineStr">
        <is>
          <t>G1</t>
        </is>
      </c>
      <c r="E2677" t="inlineStr">
        <is>
          <t>HAITIANOS</t>
        </is>
      </c>
      <c r="F2677" t="inlineStr"/>
      <c r="G2677" t="inlineStr">
        <is>
          <t>1 SC</t>
        </is>
      </c>
      <c r="H2677" t="inlineStr">
        <is>
          <t>BEBÊ, FILHA DE HAITIANOS, MORRE EM CRECHE EM SÃO MIGUEL DO OESTE, SC</t>
        </is>
      </c>
      <c r="I2677" t="inlineStr"/>
      <c r="J2677">
        <f>HYPERLINK("http://g1.globo.com/sc/santa-catarina/noticia/2016/07/bebe-filha-de-haitianos-morre-em-creche-em-sao-miguel-do-oeste-sc.html", "URL")</f>
        <v/>
      </c>
      <c r="K2677">
        <f>HYPERLINK("https://raw.githubusercontent.com/marcosmapl/dataset_imigrantes/main/noticias_filtered/g1/haitianos/2016/06_jul/html/g1_57fb28d6-22f1-11ed-b24f-6dbe51e79fca_1745.html", "HTML")</f>
        <v/>
      </c>
      <c r="L2677">
        <f>HYPERLINK("https://raw.githubusercontent.com/marcosmapl/dataset_imigrantes/main/noticias_filtered/g1/haitianos/2016/06_jul/txt/g1_57fb28d6-22f1-11ed-b24f-6dbe51e79fca_1745.txt", "TXT")</f>
        <v/>
      </c>
    </row>
    <row r="2678">
      <c r="A2678" s="1" t="n">
        <v>2676</v>
      </c>
      <c r="B2678" t="n">
        <v>2016</v>
      </c>
      <c r="C2678" s="2" t="n">
        <v>42567.58194444444</v>
      </c>
      <c r="D2678" t="inlineStr">
        <is>
          <t>G1</t>
        </is>
      </c>
      <c r="E2678" t="inlineStr">
        <is>
          <t>HAITIANOS</t>
        </is>
      </c>
      <c r="F2678" t="inlineStr"/>
      <c r="G2678" t="inlineStr">
        <is>
          <t>1 SC</t>
        </is>
      </c>
      <c r="H2678" t="inlineStr">
        <is>
          <t>DOIS HAITIANOS ESTÃO NA UTI EM ITAJAÍ APÓS EXPLOSÃO DE MÁQUINA</t>
        </is>
      </c>
      <c r="I2678" t="inlineStr"/>
      <c r="J2678">
        <f>HYPERLINK("http://g1.globo.com/sc/santa-catarina/noticia/2016/07/dois-haitianos-estao-na-uti-em-itajai-apos-explosao-de-maquina.html", "URL")</f>
        <v/>
      </c>
      <c r="K2678">
        <f>HYPERLINK("https://raw.githubusercontent.com/marcosmapl/dataset_imigrantes/main/noticias_filtered/g1/haitianos/2016/06_jul/html/g1_271d2686-22f3-11ed-b24f-6dbe51e79fca_1826.html", "HTML")</f>
        <v/>
      </c>
      <c r="L2678">
        <f>HYPERLINK("https://raw.githubusercontent.com/marcosmapl/dataset_imigrantes/main/noticias_filtered/g1/haitianos/2016/06_jul/txt/g1_271d2686-22f3-11ed-b24f-6dbe51e79fca_1826.txt", "TXT")</f>
        <v/>
      </c>
    </row>
    <row r="2679">
      <c r="A2679" s="1" t="n">
        <v>2677</v>
      </c>
      <c r="B2679" t="n">
        <v>2016</v>
      </c>
      <c r="C2679" s="2" t="n">
        <v>42562.86491898148</v>
      </c>
      <c r="D2679" t="inlineStr">
        <is>
          <t>A CRITICA</t>
        </is>
      </c>
      <c r="E2679" t="inlineStr">
        <is>
          <t>VENEZUELANOS</t>
        </is>
      </c>
      <c r="F2679" t="inlineStr">
        <is>
          <t>ENTRETENIMENTO</t>
        </is>
      </c>
      <c r="G2679" t="inlineStr">
        <is>
          <t>ACRÍTICA.COM</t>
        </is>
      </c>
      <c r="H2679" t="inlineStr">
        <is>
          <t>HERÓI DA INDEPENDÊNCIA VENEZUELANA É HOMENAGEADO COM FILME EM MANAUS</t>
        </is>
      </c>
      <c r="I2679" t="inlineStr">
        <is>
          <t>EM COMEMORAÇÃO AOS 200 ANOS DA MORTE DO GENERAL FRANCISCO DE MIRANDA SERÁ EXIBIDO O FILME “MIRANDA REGRESA”, DE 2006, NO TEATRO GEBES MEDEIROS, GRATUITAMENTE</t>
        </is>
      </c>
      <c r="J2679">
        <f>HYPERLINK("https://www.acritica.com/entretenimento/heroi-da-independencia-venezuelana-e-homenageado-com-filme-em-manaus-1.111027", "URL")</f>
        <v/>
      </c>
      <c r="K2679">
        <f>HYPERLINK("https://raw.githubusercontent.com/marcosmapl/dataset_imigrantes/main/noticias_filtered/a_critica/venezuelanos/2016/06_jul/html/1.111027_556.html", "HTML")</f>
        <v/>
      </c>
      <c r="L2679">
        <f>HYPERLINK("https://raw.githubusercontent.com/marcosmapl/dataset_imigrantes/main/noticias_filtered/a_critica/venezuelanos/2016/06_jul/txt/1.111027_556.txt", "TXT")</f>
        <v/>
      </c>
    </row>
    <row r="2680">
      <c r="A2680" s="1" t="n">
        <v>2678</v>
      </c>
      <c r="B2680" t="n">
        <v>2016</v>
      </c>
      <c r="C2680" s="2" t="n">
        <v>42561.92152777778</v>
      </c>
      <c r="D2680" t="inlineStr">
        <is>
          <t>A CRITICA</t>
        </is>
      </c>
      <c r="E2680" t="inlineStr">
        <is>
          <t>VENEZUELANOS</t>
        </is>
      </c>
      <c r="F2680" t="inlineStr"/>
      <c r="G2680" t="inlineStr">
        <is>
          <t>REUTERS BRASIL</t>
        </is>
      </c>
      <c r="H2680" t="inlineStr">
        <is>
          <t>VENEZUELANOS APROVEITAM ABERTURA DE FRONTEIRA PARA COMPRAR ALIMENTOS E REMÉDIO</t>
        </is>
      </c>
      <c r="I2680" t="inlineStr">
        <is>
          <t>SOMENTE NAS CIDADES COLOMBIANAS PRÓXIMAS A VENEZUELA COMO LA PARADA, CÚCUTA E VILLA DEL ROSARIO PASSARAM CERCA DE 15 MIL VENEZUELANOS NESTE DOMINGO, DISSE A JORNALISTAS O GOVERNADOR DE NORTE DEL SANTANDER NA COLÔMBIA, WILLIAM VILLAMIZAR</t>
        </is>
      </c>
      <c r="J2680">
        <f>HYPERLINK("https://www.acritica.com/venezuelanos-aproveitam-abertura-de-fronteira-para-comprar-alimentos-e-remedio-1.111418", "URL")</f>
        <v/>
      </c>
      <c r="K2680">
        <f>HYPERLINK("https://raw.githubusercontent.com/marcosmapl/dataset_imigrantes/main/noticias_filtered/a_critica/venezuelanos/2016/06_jul/html/1.111418_118.html", "HTML")</f>
        <v/>
      </c>
      <c r="L2680">
        <f>HYPERLINK("https://raw.githubusercontent.com/marcosmapl/dataset_imigrantes/main/noticias_filtered/a_critica/venezuelanos/2016/06_jul/txt/1.111418_118.txt", "TXT")</f>
        <v/>
      </c>
    </row>
    <row r="2681">
      <c r="A2681" s="1" t="n">
        <v>2679</v>
      </c>
      <c r="B2681" t="n">
        <v>2016</v>
      </c>
      <c r="C2681" s="2" t="n">
        <v>42560.775</v>
      </c>
      <c r="D2681" t="inlineStr">
        <is>
          <t>A CRITICA</t>
        </is>
      </c>
      <c r="E2681" t="inlineStr">
        <is>
          <t>VENEZUELANOS</t>
        </is>
      </c>
      <c r="F2681" t="inlineStr"/>
      <c r="G2681" t="inlineStr">
        <is>
          <t>NICHOLAS CASEY</t>
        </is>
      </c>
      <c r="H2681" t="inlineStr">
        <is>
          <t>SAQUES COLETIVOS NA VENEZUELA REVELAM A DIMENSÃO DA FOME DA POPULAÇÃO</t>
        </is>
      </c>
      <c r="I2681" t="inlineStr">
        <is>
          <t>MESMO EM UM PAÍS COM A MAIOR RESERVA DE PETRÓLEO DO MUNDO, É POSSÍVEL QUE AS PESSOAS SE REBELEM PORQUE NÃO HÁ COMIDA SUFICIENTE: ESSA É PRECISAMENTE A VENEZUELA QUE SEUS LÍDERES JURARAM EVITAR.</t>
        </is>
      </c>
      <c r="J2681">
        <f>HYPERLINK("https://www.acritica.com/saques-coletivos-na-venezuela-revelam-a-dimens-o-da-fome-da-populac-o-1.111869", "URL")</f>
        <v/>
      </c>
      <c r="K2681">
        <f>HYPERLINK("https://raw.githubusercontent.com/marcosmapl/dataset_imigrantes/main/noticias_filtered/a_critica/venezuelanos/2016/06_jul/html/1.111869_851.html", "HTML")</f>
        <v/>
      </c>
      <c r="L2681">
        <f>HYPERLINK("https://raw.githubusercontent.com/marcosmapl/dataset_imigrantes/main/noticias_filtered/a_critica/venezuelanos/2016/06_jul/txt/1.111869_851.txt", "TXT")</f>
        <v/>
      </c>
    </row>
    <row r="2682">
      <c r="A2682" s="1" t="n">
        <v>2680</v>
      </c>
      <c r="B2682" t="n">
        <v>2016</v>
      </c>
      <c r="C2682" s="2" t="n">
        <v>42559.57083333333</v>
      </c>
      <c r="D2682" t="inlineStr">
        <is>
          <t>G1</t>
        </is>
      </c>
      <c r="E2682" t="inlineStr">
        <is>
          <t>VENEZUELANOS</t>
        </is>
      </c>
      <c r="F2682" t="inlineStr"/>
      <c r="G2682" t="inlineStr">
        <is>
          <t>SE SOARESDO G1 MT</t>
        </is>
      </c>
      <c r="H2682" t="inlineStr">
        <is>
          <t>POLÍCIA APREENDE R$ 31 MILHÕES EM MOEDA VENEZUELANA EM MATO GROSSO</t>
        </is>
      </c>
      <c r="I2682" t="inlineStr"/>
      <c r="J2682">
        <f>HYPERLINK("http://g1.globo.com/mato-grosso/noticia/2016/07/pf-apreende-27-malas-em-mt-com-r-31-milhoes-em-moeda-venezuelana.html", "URL")</f>
        <v/>
      </c>
      <c r="K2682">
        <f>HYPERLINK("https://raw.githubusercontent.com/marcosmapl/dataset_imigrantes/main/noticias_filtered/g1/venezuelanos/2016/06_jul/html/g1_648cd84a-2311-11ed-b24f-6dbe51e79fca_2913.html", "HTML")</f>
        <v/>
      </c>
      <c r="L2682">
        <f>HYPERLINK("https://raw.githubusercontent.com/marcosmapl/dataset_imigrantes/main/noticias_filtered/g1/venezuelanos/2016/06_jul/txt/g1_648cd84a-2311-11ed-b24f-6dbe51e79fca_2913.txt", "TXT")</f>
        <v/>
      </c>
    </row>
    <row r="2683">
      <c r="A2683" s="1" t="n">
        <v>2681</v>
      </c>
      <c r="B2683" t="n">
        <v>2016</v>
      </c>
      <c r="C2683" s="2" t="n">
        <v>42559.01527777778</v>
      </c>
      <c r="D2683" t="inlineStr">
        <is>
          <t>A CRITICA</t>
        </is>
      </c>
      <c r="E2683" t="inlineStr">
        <is>
          <t>VENEZUELANOS</t>
        </is>
      </c>
      <c r="F2683" t="inlineStr"/>
      <c r="G2683" t="inlineStr">
        <is>
          <t>IVAN RICHARD - AGÊNCIA BRASIL</t>
        </is>
      </c>
      <c r="H2683" t="inlineStr">
        <is>
          <t>URUGUAI AFIRMA QUE PASSARÁ COMANDO DO MERCOSUL PARA A VENEZUELA</t>
        </is>
      </c>
      <c r="I2683" t="inlineStr">
        <is>
          <t>A SUCESSÃO É ALVO DE CRÍTICAS INTERNAS, PRINCIPALMENTE DO PARAGUAI, POR CAUSA DA CRISE INSTALADA NO PAÍS BOLIVARIANO PRESIDIDO POR NICOLÁS MADURO</t>
        </is>
      </c>
      <c r="J2683">
        <f>HYPERLINK("https://www.acritica.com/uruguai-afirma-que-passara-comando-do-mercosul-para-a-venezuela-1.112589", "URL")</f>
        <v/>
      </c>
      <c r="K2683">
        <f>HYPERLINK("https://raw.githubusercontent.com/marcosmapl/dataset_imigrantes/main/noticias_filtered/a_critica/venezuelanos/2016/06_jul/html/1.112589_1126.html", "HTML")</f>
        <v/>
      </c>
      <c r="L2683">
        <f>HYPERLINK("https://raw.githubusercontent.com/marcosmapl/dataset_imigrantes/main/noticias_filtered/a_critica/venezuelanos/2016/06_jul/txt/1.112589_1126.txt", "TXT")</f>
        <v/>
      </c>
    </row>
    <row r="2684">
      <c r="A2684" s="1" t="n">
        <v>2682</v>
      </c>
      <c r="B2684" t="n">
        <v>2016</v>
      </c>
      <c r="C2684" s="2" t="n">
        <v>42556.99791666667</v>
      </c>
      <c r="D2684" t="inlineStr">
        <is>
          <t>G1</t>
        </is>
      </c>
      <c r="E2684" t="inlineStr">
        <is>
          <t>VENEZUELANOS</t>
        </is>
      </c>
      <c r="F2684" t="inlineStr"/>
      <c r="G2684" t="inlineStr">
        <is>
          <t>1, EM SÃO PAULO</t>
        </is>
      </c>
      <c r="H2684" t="inlineStr">
        <is>
          <t>BRASIL DEFENDE ADIAR POSSE DA VENEZUELA NA PRESIDÊNCIA DO MERCOSUL</t>
        </is>
      </c>
      <c r="I2684" t="inlineStr"/>
      <c r="J2684">
        <f>HYPERLINK("http://g1.globo.com/mundo/noticia/2016/07/brasil-defende-adiar-posse-da-venezuela-na-presidencia-do-mercosul.html", "URL")</f>
        <v/>
      </c>
      <c r="K2684">
        <f>HYPERLINK("https://raw.githubusercontent.com/marcosmapl/dataset_imigrantes/main/noticias_filtered/g1/venezuelanos/2016/06_jul/html/g1_af8da234-231b-11ed-b24f-6dbe51e79fca_3401.html", "HTML")</f>
        <v/>
      </c>
      <c r="L2684">
        <f>HYPERLINK("https://raw.githubusercontent.com/marcosmapl/dataset_imigrantes/main/noticias_filtered/g1/venezuelanos/2016/06_jul/txt/g1_af8da234-231b-11ed-b24f-6dbe51e79fca_3401.txt", "TXT")</f>
        <v/>
      </c>
    </row>
    <row r="2685">
      <c r="A2685" s="1" t="n">
        <v>2683</v>
      </c>
      <c r="B2685" t="n">
        <v>2016</v>
      </c>
      <c r="C2685" s="2" t="n">
        <v>42552.48611111111</v>
      </c>
      <c r="D2685" t="inlineStr">
        <is>
          <t>G1</t>
        </is>
      </c>
      <c r="E2685" t="inlineStr">
        <is>
          <t>HAITIANOS</t>
        </is>
      </c>
      <c r="F2685" t="inlineStr"/>
      <c r="G2685" t="inlineStr">
        <is>
          <t>1 SC</t>
        </is>
      </c>
      <c r="H2685" t="inlineStr">
        <is>
          <t>INSCRIÇÕES PARA HAITIANOS EM CURSOS DA UFFS TERMINAM NESTA SEXTA-FEIRA</t>
        </is>
      </c>
      <c r="I2685" t="inlineStr"/>
      <c r="J2685">
        <f>HYPERLINK("http://g1.globo.com/sc/santa-catarina/noticia/2016/07/inscricoes-para-haitianos-em-cursos-da-uffs-terminam-nesta-sexta-feira.html", "URL")</f>
        <v/>
      </c>
      <c r="K2685">
        <f>HYPERLINK("https://raw.githubusercontent.com/marcosmapl/dataset_imigrantes/main/noticias_filtered/g1/haitianos/2016/06_jul/html/g1_9eb0cac6-22f9-11ed-b24f-6dbe51e79fca_2174.html", "HTML")</f>
        <v/>
      </c>
      <c r="L2685">
        <f>HYPERLINK("https://raw.githubusercontent.com/marcosmapl/dataset_imigrantes/main/noticias_filtered/g1/haitianos/2016/06_jul/txt/g1_9eb0cac6-22f9-11ed-b24f-6dbe51e79fca_2174.txt", "TXT")</f>
        <v/>
      </c>
    </row>
    <row r="2686">
      <c r="A2686" s="1" t="n">
        <v>2684</v>
      </c>
      <c r="B2686" t="n">
        <v>2016</v>
      </c>
      <c r="C2686" s="2" t="n">
        <v>42549.76527777778</v>
      </c>
      <c r="D2686" t="inlineStr">
        <is>
          <t>G1</t>
        </is>
      </c>
      <c r="E2686" t="inlineStr">
        <is>
          <t>HAITIANOS</t>
        </is>
      </c>
      <c r="F2686" t="inlineStr"/>
      <c r="G2686" t="inlineStr">
        <is>
          <t>EUTERS</t>
        </is>
      </c>
      <c r="H2686" t="inlineStr">
        <is>
          <t>FLÓRIDA TEM PRIMEIRO BEBÊ COM MICROCEFALIA LIGADA AO VÍRUS DA ZIKA</t>
        </is>
      </c>
      <c r="I2686" t="inlineStr"/>
      <c r="J2686">
        <f>HYPERLINK("http://g1.globo.com/bemestar/noticia/2016/06/florida-tem-primeiro-bebe-com-microcefalia-ligada-ao-virus-da-zika.html", "URL")</f>
        <v/>
      </c>
      <c r="K2686">
        <f>HYPERLINK("https://raw.githubusercontent.com/marcosmapl/dataset_imigrantes/main/noticias_filtered/g1/haitianos/2016/05_jun/html/g1_8c0e5360-2318-11ed-b24f-6dbe51e79fca_3265.html", "HTML")</f>
        <v/>
      </c>
      <c r="L2686">
        <f>HYPERLINK("https://raw.githubusercontent.com/marcosmapl/dataset_imigrantes/main/noticias_filtered/g1/haitianos/2016/05_jun/txt/g1_8c0e5360-2318-11ed-b24f-6dbe51e79fca_3265.txt", "TXT")</f>
        <v/>
      </c>
    </row>
    <row r="2687">
      <c r="A2687" s="1" t="n">
        <v>2685</v>
      </c>
      <c r="B2687" t="n">
        <v>2016</v>
      </c>
      <c r="C2687" s="2" t="n">
        <v>42544.95347222222</v>
      </c>
      <c r="D2687" t="inlineStr">
        <is>
          <t>A CRITICA</t>
        </is>
      </c>
      <c r="E2687" t="inlineStr">
        <is>
          <t>VENEZUELANOS</t>
        </is>
      </c>
      <c r="F2687" t="inlineStr"/>
      <c r="G2687" t="inlineStr">
        <is>
          <t>SARAH MARSH - REUTERS</t>
        </is>
      </c>
      <c r="H2687" t="inlineStr">
        <is>
          <t>FARC ASSINAM ACORDO DE CESSAR-FOGO HISTÓRICO COM GOVERNO DA COLÔMBIA</t>
        </is>
      </c>
      <c r="I2687" t="inlineStr">
        <is>
          <t>REBELDES DAS FORÇAS ARMADAS REVOLUCIONÁRIAS DA COLÔMBIA E GOVERNO COLOMBIANO ASSINARAM ACORDO QUE OS DEIXA PRÓXIMOS DE ENCERRAR ÚLTIMA INSURGÊNCIA. PACTO ABRE CAMINHO PARA ACORDO DE PAZ APÓS MAIS DE 50 ANOS</t>
        </is>
      </c>
      <c r="J2687">
        <f>HYPERLINK("https://www.acritica.com/farc-assinam-acordo-de-cessar-fogo-historico-com-governo-da-colombia-1.212012", "URL")</f>
        <v/>
      </c>
      <c r="K2687">
        <f>HYPERLINK("https://raw.githubusercontent.com/marcosmapl/dataset_imigrantes/main/noticias_filtered/a_critica/venezuelanos/2016/05_jun/html/1.212012_1020.html", "HTML")</f>
        <v/>
      </c>
      <c r="L2687">
        <f>HYPERLINK("https://raw.githubusercontent.com/marcosmapl/dataset_imigrantes/main/noticias_filtered/a_critica/venezuelanos/2016/05_jun/txt/1.212012_1020.txt", "TXT")</f>
        <v/>
      </c>
    </row>
    <row r="2688">
      <c r="A2688" s="1" t="n">
        <v>2686</v>
      </c>
      <c r="B2688" t="n">
        <v>2016</v>
      </c>
      <c r="C2688" s="2" t="n">
        <v>42542.47638888889</v>
      </c>
      <c r="D2688" t="inlineStr">
        <is>
          <t>G1</t>
        </is>
      </c>
      <c r="E2688" t="inlineStr">
        <is>
          <t>AMBOS</t>
        </is>
      </c>
      <c r="F2688" t="inlineStr"/>
      <c r="G2688" t="inlineStr">
        <is>
          <t>1 AM</t>
        </is>
      </c>
      <c r="H2688" t="inlineStr">
        <is>
          <t>NO AM, AÇÃO 'POR UM SORRISO' ARRECADA DOAÇÕES PARA CRIANÇAS IMIGRANTES</t>
        </is>
      </c>
      <c r="I2688" t="inlineStr"/>
      <c r="J2688">
        <f>HYPERLINK("http://g1.globo.com/am/amazonas/noticia/2016/06/no-am-acao-por-um-sorriso-arrecada-doacoes-para-criancas-imigrantes.html", "URL")</f>
        <v/>
      </c>
      <c r="K2688">
        <f>HYPERLINK("https://raw.githubusercontent.com/marcosmapl/dataset_imigrantes/main/noticias_filtered/g1/ambos/2016/05_jun/html/g1_94f1e122-2309-11ed-b24f-6dbe51e79fca_2454.html", "HTML")</f>
        <v/>
      </c>
      <c r="L2688">
        <f>HYPERLINK("https://raw.githubusercontent.com/marcosmapl/dataset_imigrantes/main/noticias_filtered/g1/ambos/2016/05_jun/txt/g1_94f1e122-2309-11ed-b24f-6dbe51e79fca_2454.txt", "TXT")</f>
        <v/>
      </c>
    </row>
    <row r="2689">
      <c r="A2689" s="1" t="n">
        <v>2687</v>
      </c>
      <c r="B2689" t="n">
        <v>2016</v>
      </c>
      <c r="C2689" s="2" t="n">
        <v>42540.7691087963</v>
      </c>
      <c r="D2689" t="inlineStr">
        <is>
          <t>A CRITICA</t>
        </is>
      </c>
      <c r="E2689" t="inlineStr">
        <is>
          <t>VENEZUELANOS</t>
        </is>
      </c>
      <c r="F2689" t="inlineStr">
        <is>
          <t>ESPORTES</t>
        </is>
      </c>
      <c r="G2689" t="inlineStr">
        <is>
          <t>CAMILA LEONEL</t>
        </is>
      </c>
      <c r="H2689" t="inlineStr">
        <is>
          <t>TOCHA OLÍMPICA REÚNE CENTENAS DE PESSOAS NO LARGO DA SÃO SEBASTIÃO</t>
        </is>
      </c>
      <c r="I2689" t="inlineStr">
        <is>
          <t>LARGO DA SÃO SEBASTIÃO FOI DOMINADO POR CURIOSOS QUE ACOMPANHARAM O REVEZAMENTO DA TOCHA OLÍMPICA. ESTRANGEIROS COMPARECERAM AO LOCAL.</t>
        </is>
      </c>
      <c r="J2689">
        <f>HYPERLINK("https://www.acritica.com/esportes/tocha-olimpica-reune-centenas-de-pessoas-no-largo-da-s-o-sebasti-o-1.139557", "URL")</f>
        <v/>
      </c>
      <c r="K2689">
        <f>HYPERLINK("https://raw.githubusercontent.com/marcosmapl/dataset_imigrantes/main/noticias_filtered/a_critica/venezuelanos/2016/05_jun/html/1.139557_985.html", "HTML")</f>
        <v/>
      </c>
      <c r="L2689">
        <f>HYPERLINK("https://raw.githubusercontent.com/marcosmapl/dataset_imigrantes/main/noticias_filtered/a_critica/venezuelanos/2016/05_jun/txt/1.139557_985.txt", "TXT")</f>
        <v/>
      </c>
    </row>
    <row r="2690">
      <c r="A2690" s="1" t="n">
        <v>2688</v>
      </c>
      <c r="B2690" t="n">
        <v>2016</v>
      </c>
      <c r="C2690" s="2" t="n">
        <v>42538.625</v>
      </c>
      <c r="D2690" t="inlineStr">
        <is>
          <t>A CRITICA</t>
        </is>
      </c>
      <c r="E2690" t="inlineStr">
        <is>
          <t>HAITIANOS</t>
        </is>
      </c>
      <c r="F2690" t="inlineStr">
        <is>
          <t>ENTRETENIMENTO</t>
        </is>
      </c>
      <c r="G2690" t="inlineStr">
        <is>
          <t>ACRÍTICA.COM</t>
        </is>
      </c>
      <c r="H2690" t="inlineStr">
        <is>
          <t>'É CLARO QUE EU VOU FAZER A MINHA DANCINHA', AVISA NUNES FILHO, SOBRE ATO OLÍMPICO</t>
        </is>
      </c>
      <c r="I2690" t="inlineStr">
        <is>
          <t>O PRÍNCIPE DO BREGA SERÁ UMA DAS PERSONALIDADES A CARREGAR A TOCHA OLÍMPICA DURANTE O REVEZAMENTO EM MANAUS</t>
        </is>
      </c>
      <c r="J2690">
        <f>HYPERLINK("https://www.acritica.com/entretenimento/e-claro-que-eu-vou-fazer-a-minha-dancinha-avisa-nunes-filho-sobre-ato-olimpico-1.113182", "URL")</f>
        <v/>
      </c>
      <c r="K2690">
        <f>HYPERLINK("https://raw.githubusercontent.com/marcosmapl/dataset_imigrantes/main/noticias_filtered/a_critica/haitianos/2016/05_jun/html/1.113182_896.html", "HTML")</f>
        <v/>
      </c>
      <c r="L2690">
        <f>HYPERLINK("https://raw.githubusercontent.com/marcosmapl/dataset_imigrantes/main/noticias_filtered/a_critica/haitianos/2016/05_jun/txt/1.113182_896.txt", "TXT")</f>
        <v/>
      </c>
    </row>
    <row r="2691">
      <c r="A2691" s="1" t="n">
        <v>2689</v>
      </c>
      <c r="B2691" t="n">
        <v>2016</v>
      </c>
      <c r="C2691" s="2" t="n">
        <v>42537.79513888889</v>
      </c>
      <c r="D2691" t="inlineStr">
        <is>
          <t>A CRITICA</t>
        </is>
      </c>
      <c r="E2691" t="inlineStr">
        <is>
          <t>HAITIANOS</t>
        </is>
      </c>
      <c r="F2691" t="inlineStr">
        <is>
          <t>ESPORTES</t>
        </is>
      </c>
      <c r="G2691" t="inlineStr">
        <is>
          <t>ACRITICA.COM*</t>
        </is>
      </c>
      <c r="H2691" t="inlineStr">
        <is>
          <t>NUNES FILHO E DAVID ASSAYAG ESTÃO ENTRE OS CONDUTORES DA TOCHA OLÍMPICA EM MANAUS</t>
        </is>
      </c>
      <c r="I2691" t="inlineStr">
        <is>
          <t>ALÉM DOS ARTISTAS, TAMBÉM ESTÁ NA LISTA DE ATLETAS AMAZONENSES QUE PARTICIPARÃO DO REVEZAMENTO DURANTE SUA PASSAGEM PELA CAPITAL AMAZONENSE, COMO A JUDOCA RITA DE CÁSSIA</t>
        </is>
      </c>
      <c r="J2691">
        <f>HYPERLINK("https://www.acritica.com/esportes/nunes-filho-e-david-assayag-est-o-entre-os-condutores-da-tocha-olimpica-em-manaus-1.113282", "URL")</f>
        <v/>
      </c>
      <c r="K2691">
        <f>HYPERLINK("https://raw.githubusercontent.com/marcosmapl/dataset_imigrantes/main/noticias_filtered/a_critica/haitianos/2016/05_jun/html/1.113282_1326.html", "HTML")</f>
        <v/>
      </c>
      <c r="L2691">
        <f>HYPERLINK("https://raw.githubusercontent.com/marcosmapl/dataset_imigrantes/main/noticias_filtered/a_critica/haitianos/2016/05_jun/txt/1.113282_1326.txt", "TXT")</f>
        <v/>
      </c>
    </row>
    <row r="2692">
      <c r="A2692" s="1" t="n">
        <v>2690</v>
      </c>
      <c r="B2692" t="n">
        <v>2016</v>
      </c>
      <c r="C2692" s="2" t="n">
        <v>42534.66196759259</v>
      </c>
      <c r="D2692" t="inlineStr">
        <is>
          <t>A CRITICA</t>
        </is>
      </c>
      <c r="E2692" t="inlineStr">
        <is>
          <t>VENEZUELANOS</t>
        </is>
      </c>
      <c r="F2692" t="inlineStr">
        <is>
          <t>ESPORTES</t>
        </is>
      </c>
      <c r="G2692" t="inlineStr">
        <is>
          <t>ACRÍTICA.COM</t>
        </is>
      </c>
      <c r="H2692" t="inlineStr">
        <is>
          <t>MÉXICO E VENEZUELA DISPUTAM LIDERANÇA DO GRUPO C NESTA SEGUNDA (13)</t>
        </is>
      </c>
      <c r="I2692" t="inlineStr">
        <is>
          <t>EQUIPES SOMAM SEIS PONTOS NA TABELA, AMBAS JÁ ESTÃO CLASSIFICADAS PARA A PRÓXIMA FASE DA COPA AMÉRICA.</t>
        </is>
      </c>
      <c r="J2692">
        <f>HYPERLINK("https://www.acritica.com/esportes/mexico-e-venezuela-disputam-lideranca-do-grupo-c-nesta-segunda-13-1.138688", "URL")</f>
        <v/>
      </c>
      <c r="K2692">
        <f>HYPERLINK("https://raw.githubusercontent.com/marcosmapl/dataset_imigrantes/main/noticias_filtered/a_critica/venezuelanos/2016/05_jun/html/1.138688_236.html", "HTML")</f>
        <v/>
      </c>
      <c r="L2692">
        <f>HYPERLINK("https://raw.githubusercontent.com/marcosmapl/dataset_imigrantes/main/noticias_filtered/a_critica/venezuelanos/2016/05_jun/txt/1.138688_236.txt", "TXT")</f>
        <v/>
      </c>
    </row>
    <row r="2693">
      <c r="A2693" s="1" t="n">
        <v>2691</v>
      </c>
      <c r="B2693" t="n">
        <v>2016</v>
      </c>
      <c r="C2693" s="2" t="n">
        <v>42534.41319444445</v>
      </c>
      <c r="D2693" t="inlineStr">
        <is>
          <t>G1</t>
        </is>
      </c>
      <c r="E2693" t="inlineStr">
        <is>
          <t>HAITIANOS</t>
        </is>
      </c>
      <c r="F2693" t="inlineStr"/>
      <c r="G2693" t="inlineStr">
        <is>
          <t>NA MORAISDO G1 RO</t>
        </is>
      </c>
      <c r="H2693" t="inlineStr">
        <is>
          <t>CICLISTA HAITIANA É ATROPELADA POR CARRO EM CICLOVIA DE PORTO VELHO</t>
        </is>
      </c>
      <c r="I2693" t="inlineStr"/>
      <c r="J2693">
        <f>HYPERLINK("http://g1.globo.com/ro/rondonia/noticia/2016/06/ciclista-haitiana-e-atropelada-por-carro-em-ciclovia-de-porto-velho.html", "URL")</f>
        <v/>
      </c>
      <c r="K2693">
        <f>HYPERLINK("https://raw.githubusercontent.com/marcosmapl/dataset_imigrantes/main/noticias_filtered/g1/haitianos/2016/05_jun/html/g1_953aee6e-230c-11ed-b24f-6dbe51e79fca_2634.html", "HTML")</f>
        <v/>
      </c>
      <c r="L2693">
        <f>HYPERLINK("https://raw.githubusercontent.com/marcosmapl/dataset_imigrantes/main/noticias_filtered/g1/haitianos/2016/05_jun/txt/g1_953aee6e-230c-11ed-b24f-6dbe51e79fca_2634.txt", "TXT")</f>
        <v/>
      </c>
    </row>
    <row r="2694">
      <c r="A2694" s="1" t="n">
        <v>2692</v>
      </c>
      <c r="B2694" t="n">
        <v>2016</v>
      </c>
      <c r="C2694" s="2" t="n">
        <v>42532.75069444445</v>
      </c>
      <c r="D2694" t="inlineStr">
        <is>
          <t>A CRITICA</t>
        </is>
      </c>
      <c r="E2694" t="inlineStr">
        <is>
          <t>VENEZUELANOS</t>
        </is>
      </c>
      <c r="F2694" t="inlineStr"/>
      <c r="G2694" t="inlineStr">
        <is>
          <t>REUTERS BRASIL</t>
        </is>
      </c>
      <c r="H2694" t="inlineStr">
        <is>
          <t>BRASIL, ARGENTINA, CHILE E URUGUAI RECHAÇAM VIOLÊNCIA CONTRA DEPUTADOS NA VENEZUELA</t>
        </is>
      </c>
      <c r="I2694" t="inlineStr">
        <is>
          <t>UM COMUNICADO CONJUNTO DAS CHANCELARIAS DOS QUATRO PAÍSES, EMITIDO NESTE SÁBADO, PEDE QUE "COMO PROMETEU O GOVERNO (VENEZUELANO), SEJAM INVESTIGADAS AS RESPONSABILIDADES PELA VIOLÊNCIA"</t>
        </is>
      </c>
      <c r="J2694">
        <f>HYPERLINK("https://www.acritica.com/brasil-argentina-chile-e-uruguai-rechacam-violencia-contra-deputados-na-venezuela-1.138524", "URL")</f>
        <v/>
      </c>
      <c r="K2694">
        <f>HYPERLINK("https://raw.githubusercontent.com/marcosmapl/dataset_imigrantes/main/noticias_filtered/a_critica/venezuelanos/2016/05_jun/html/1.138524_970.html", "HTML")</f>
        <v/>
      </c>
      <c r="L2694">
        <f>HYPERLINK("https://raw.githubusercontent.com/marcosmapl/dataset_imigrantes/main/noticias_filtered/a_critica/venezuelanos/2016/05_jun/txt/1.138524_970.txt", "TXT")</f>
        <v/>
      </c>
    </row>
    <row r="2695">
      <c r="A2695" s="1" t="n">
        <v>2693</v>
      </c>
      <c r="B2695" t="n">
        <v>2016</v>
      </c>
      <c r="C2695" s="2" t="n">
        <v>42530.04583333333</v>
      </c>
      <c r="D2695" t="inlineStr">
        <is>
          <t>A CRITICA</t>
        </is>
      </c>
      <c r="E2695" t="inlineStr">
        <is>
          <t>HAITIANOS</t>
        </is>
      </c>
      <c r="F2695" t="inlineStr">
        <is>
          <t>ESPORTES</t>
        </is>
      </c>
      <c r="G2695" t="inlineStr">
        <is>
          <t>ACRÍTICA.COM</t>
        </is>
      </c>
      <c r="H2695" t="inlineStr">
        <is>
          <t>BRASIL SABOREIA O OUTRO LADO DE UM 7 A 1 EM GOLEADA SOBRE O HAITI NA COPA AMÉRICA</t>
        </is>
      </c>
      <c r="I2695" t="inlineStr">
        <is>
          <t>EM JOGO DE MUITOS ESPAÇOS NA DEFESA HAITIANA, BRASIL APROVEITA OPORTUNIDADE E GOLEIA.</t>
        </is>
      </c>
      <c r="J2695">
        <f>HYPERLINK("https://www.acritica.com/esportes/brasil-saboreia-o-outro-lado-de-um-7-a-1-em-goleada-sobre-o-haiti-na-copa-america-1.137711", "URL")</f>
        <v/>
      </c>
      <c r="K2695">
        <f>HYPERLINK("https://raw.githubusercontent.com/marcosmapl/dataset_imigrantes/main/noticias_filtered/a_critica/haitianos/2016/05_jun/html/1.137711_801.html", "HTML")</f>
        <v/>
      </c>
      <c r="L2695">
        <f>HYPERLINK("https://raw.githubusercontent.com/marcosmapl/dataset_imigrantes/main/noticias_filtered/a_critica/haitianos/2016/05_jun/txt/1.137711_801.txt", "TXT")</f>
        <v/>
      </c>
    </row>
    <row r="2696">
      <c r="A2696" s="1" t="n">
        <v>2694</v>
      </c>
      <c r="B2696" t="n">
        <v>2016</v>
      </c>
      <c r="C2696" s="2" t="n">
        <v>42529.4</v>
      </c>
      <c r="D2696" t="inlineStr">
        <is>
          <t>G1</t>
        </is>
      </c>
      <c r="E2696" t="inlineStr">
        <is>
          <t>VENEZUELANOS</t>
        </is>
      </c>
      <c r="F2696" t="inlineStr"/>
      <c r="G2696" t="inlineStr">
        <is>
          <t>EL PARDODA BBC MUNDO</t>
        </is>
      </c>
      <c r="H2696" t="inlineStr">
        <is>
          <t>COMO CRISE TRANSFORMOU CIDADE 'MAIS FRIA' DA VENEZUELA NA MAIS QUENTE</t>
        </is>
      </c>
      <c r="I2696" t="inlineStr"/>
      <c r="J2696">
        <f>HYPERLINK("http://g1.globo.com/mundo/noticia/2016/06/como-crise-transformou-cidade-mais-fria-da-venezuela-na-mais-quente.html", "URL")</f>
        <v/>
      </c>
      <c r="K2696">
        <f>HYPERLINK("https://raw.githubusercontent.com/marcosmapl/dataset_imigrantes/main/noticias_filtered/g1/venezuelanos/2016/05_jun/html/g1_014ac91e-2329-11ed-b24f-6dbe51e79fca_4094.html", "HTML")</f>
        <v/>
      </c>
      <c r="L2696">
        <f>HYPERLINK("https://raw.githubusercontent.com/marcosmapl/dataset_imigrantes/main/noticias_filtered/g1/venezuelanos/2016/05_jun/txt/g1_014ac91e-2329-11ed-b24f-6dbe51e79fca_4094.txt", "TXT")</f>
        <v/>
      </c>
    </row>
    <row r="2697">
      <c r="A2697" s="1" t="n">
        <v>2695</v>
      </c>
      <c r="B2697" t="n">
        <v>2016</v>
      </c>
      <c r="C2697" s="2" t="n">
        <v>42529.27569444444</v>
      </c>
      <c r="D2697" t="inlineStr">
        <is>
          <t>G1</t>
        </is>
      </c>
      <c r="E2697" t="inlineStr">
        <is>
          <t>VENEZUELANOS</t>
        </is>
      </c>
      <c r="F2697" t="inlineStr"/>
      <c r="G2697" t="inlineStr">
        <is>
          <t>1 DF</t>
        </is>
      </c>
      <c r="H2697" t="inlineStr">
        <is>
          <t>VENEZUELANA É PRESA NO AEROPORTO DO DF SUSPEITA DE FURTAR CINCO PERFUMES</t>
        </is>
      </c>
      <c r="I2697" t="inlineStr"/>
      <c r="J2697">
        <f>HYPERLINK("http://g1.globo.com/distrito-federal/noticia/2016/06/venezuelana-e-presa-no-aeroporto-do-df-suspeita-de-furtar-cinco-perfumes.html", "URL")</f>
        <v/>
      </c>
      <c r="K2697">
        <f>HYPERLINK("https://raw.githubusercontent.com/marcosmapl/dataset_imigrantes/main/noticias_filtered/g1/venezuelanos/2016/05_jun/html/g1_161d572e-2308-11ed-b24f-6dbe51e79fca_2364.html", "HTML")</f>
        <v/>
      </c>
      <c r="L2697">
        <f>HYPERLINK("https://raw.githubusercontent.com/marcosmapl/dataset_imigrantes/main/noticias_filtered/g1/venezuelanos/2016/05_jun/txt/g1_161d572e-2308-11ed-b24f-6dbe51e79fca_2364.txt", "TXT")</f>
        <v/>
      </c>
    </row>
    <row r="2698">
      <c r="A2698" s="1" t="n">
        <v>2696</v>
      </c>
      <c r="B2698" t="n">
        <v>2016</v>
      </c>
      <c r="C2698" s="2" t="n">
        <v>42528.38888888889</v>
      </c>
      <c r="D2698" t="inlineStr">
        <is>
          <t>G1</t>
        </is>
      </c>
      <c r="E2698" t="inlineStr">
        <is>
          <t>VENEZUELANOS</t>
        </is>
      </c>
      <c r="F2698" t="inlineStr"/>
      <c r="G2698" t="inlineStr">
        <is>
          <t>RANCE PRESSE</t>
        </is>
      </c>
      <c r="H2698" t="inlineStr">
        <is>
          <t>OPOSIÇÃO VENEZUELANA ESPERA AUTORIZAÇÃO PARA AVANÇO DE REFERENDO</t>
        </is>
      </c>
      <c r="I2698" t="inlineStr"/>
      <c r="J2698">
        <f>HYPERLINK("http://g1.globo.com/mundo/noticia/2016/06/oposicao-venezuelana-espera-autorizacao-para-avancar-com-referendo.html", "URL")</f>
        <v/>
      </c>
      <c r="K2698">
        <f>HYPERLINK("https://raw.githubusercontent.com/marcosmapl/dataset_imigrantes/main/noticias_filtered/g1/venezuelanos/2016/05_jun/html/g1_6440d248-2310-11ed-b24f-6dbe51e79fca_2858.html", "HTML")</f>
        <v/>
      </c>
      <c r="L2698">
        <f>HYPERLINK("https://raw.githubusercontent.com/marcosmapl/dataset_imigrantes/main/noticias_filtered/g1/venezuelanos/2016/05_jun/txt/g1_6440d248-2310-11ed-b24f-6dbe51e79fca_2858.txt", "TXT")</f>
        <v/>
      </c>
    </row>
    <row r="2699">
      <c r="A2699" s="1" t="n">
        <v>2697</v>
      </c>
      <c r="B2699" t="n">
        <v>2016</v>
      </c>
      <c r="C2699" s="2" t="n">
        <v>42527.37222222222</v>
      </c>
      <c r="D2699" t="inlineStr">
        <is>
          <t>G1</t>
        </is>
      </c>
      <c r="E2699" t="inlineStr">
        <is>
          <t>VENEZUELANOS</t>
        </is>
      </c>
      <c r="F2699" t="inlineStr"/>
      <c r="G2699" t="inlineStr">
        <is>
          <t>RANCE PRESSE</t>
        </is>
      </c>
      <c r="H2699" t="inlineStr">
        <is>
          <t>OPOSIÇÃO VENEZUELANA VOLTA ÀS RUAS POR REFERENDO CONTRA MADURO</t>
        </is>
      </c>
      <c r="I2699" t="inlineStr"/>
      <c r="J2699">
        <f>HYPERLINK("http://g1.globo.com/mundo/noticia/2016/06/oposicao-venezuelana-volta-as-ruas-por-referendo-contra-maduro.html", "URL")</f>
        <v/>
      </c>
      <c r="K2699">
        <f>HYPERLINK("https://raw.githubusercontent.com/marcosmapl/dataset_imigrantes/main/noticias_filtered/g1/venezuelanos/2016/05_jun/html/g1_db6a4f06-2307-11ed-b24f-6dbe51e79fca_2347.html", "HTML")</f>
        <v/>
      </c>
      <c r="L2699">
        <f>HYPERLINK("https://raw.githubusercontent.com/marcosmapl/dataset_imigrantes/main/noticias_filtered/g1/venezuelanos/2016/05_jun/txt/g1_db6a4f06-2307-11ed-b24f-6dbe51e79fca_2347.txt", "TXT")</f>
        <v/>
      </c>
    </row>
    <row r="2700">
      <c r="A2700" s="1" t="n">
        <v>2698</v>
      </c>
      <c r="B2700" t="n">
        <v>2016</v>
      </c>
      <c r="C2700" s="2" t="n">
        <v>42526.6125</v>
      </c>
      <c r="D2700" t="inlineStr">
        <is>
          <t>G1</t>
        </is>
      </c>
      <c r="E2700" t="inlineStr">
        <is>
          <t>VENEZUELANOS</t>
        </is>
      </c>
      <c r="F2700" t="inlineStr"/>
      <c r="G2700" t="inlineStr">
        <is>
          <t>Y COSTADO G1 RR</t>
        </is>
      </c>
      <c r="H2700" t="inlineStr">
        <is>
          <t>APÓS UMA SEMANA, VENEZUELANO SEGUE DESAPARECIDO EM RORAIMA</t>
        </is>
      </c>
      <c r="I2700" t="inlineStr"/>
      <c r="J2700">
        <f>HYPERLINK("http://g1.globo.com/rr/roraima/noticia/2016/06/apos-uma-semana-venezuelano-segue-desaparecido-em-roraima.html", "URL")</f>
        <v/>
      </c>
      <c r="K2700">
        <f>HYPERLINK("https://raw.githubusercontent.com/marcosmapl/dataset_imigrantes/main/noticias_filtered/g1/venezuelanos/2016/05_jun/html/g1_882db97a-232c-11ed-b24f-6dbe51e79fca_4311.html", "HTML")</f>
        <v/>
      </c>
      <c r="L2700">
        <f>HYPERLINK("https://raw.githubusercontent.com/marcosmapl/dataset_imigrantes/main/noticias_filtered/g1/venezuelanos/2016/05_jun/txt/g1_882db97a-232c-11ed-b24f-6dbe51e79fca_4311.txt", "TXT")</f>
        <v/>
      </c>
    </row>
    <row r="2701">
      <c r="A2701" s="1" t="n">
        <v>2699</v>
      </c>
      <c r="B2701" t="n">
        <v>2016</v>
      </c>
      <c r="C2701" s="2" t="n">
        <v>42522.86273148148</v>
      </c>
      <c r="D2701" t="inlineStr">
        <is>
          <t>A CRITICA</t>
        </is>
      </c>
      <c r="E2701" t="inlineStr">
        <is>
          <t>VENEZUELANOS</t>
        </is>
      </c>
      <c r="F2701" t="inlineStr"/>
      <c r="G2701" t="inlineStr">
        <is>
          <t>NICHOLAS CASEY © 2016 NEW YORK TIMES NEWS SERVICE</t>
        </is>
      </c>
      <c r="H2701" t="inlineStr">
        <is>
          <t>HOSPITAIS DA VENEZUELA ENTRAM EM COLAPSO POR CAUSA DA CRISE ECONÔMICA DO PAÍS</t>
        </is>
      </c>
      <c r="I2701" t="inlineStr">
        <is>
          <t>A CRISE VENEZUELANA EXPLODIU EM UMA EMERGÊNCIA DE SAÚDE PÚBLICA, PROVOCANDO A MORTE DIVERSOS VENEZUELANOS - E ISSO É APENAS PARTE DE UM PROBLEMA MAIOR QUE SE TORNOU TÃO GRAVE QUE LEVOU O PRESIDENTE NICOLÁS MADURO A IMPOR UM ESTADO DE EMERGÊNCIA</t>
        </is>
      </c>
      <c r="J2701">
        <f>HYPERLINK("https://www.acritica.com/hospitais-da-venezuela-entram-em-colapso-por-causa-da-crise-economica-do-pais-1.157010", "URL")</f>
        <v/>
      </c>
      <c r="K2701">
        <f>HYPERLINK("https://raw.githubusercontent.com/marcosmapl/dataset_imigrantes/main/noticias_filtered/a_critica/venezuelanos/2016/05_jun/html/1.157010_212.html", "HTML")</f>
        <v/>
      </c>
      <c r="L2701">
        <f>HYPERLINK("https://raw.githubusercontent.com/marcosmapl/dataset_imigrantes/main/noticias_filtered/a_critica/venezuelanos/2016/05_jun/txt/1.157010_212.txt", "TXT")</f>
        <v/>
      </c>
    </row>
    <row r="2702">
      <c r="A2702" s="1" t="n">
        <v>2700</v>
      </c>
      <c r="B2702" t="n">
        <v>2016</v>
      </c>
      <c r="C2702" s="2" t="n">
        <v>42518.43888888889</v>
      </c>
      <c r="D2702" t="inlineStr">
        <is>
          <t>G1</t>
        </is>
      </c>
      <c r="E2702" t="inlineStr">
        <is>
          <t>HAITIANOS</t>
        </is>
      </c>
      <c r="F2702" t="inlineStr"/>
      <c r="G2702" t="inlineStr">
        <is>
          <t>1 MT</t>
        </is>
      </c>
      <c r="H2702" t="inlineStr">
        <is>
          <t>AMIGOS TENTAM AJUDAR HAITIANO A TRAZER PARA MT O FILHO QUE NÃO VÊ HÁ 3 ANOS</t>
        </is>
      </c>
      <c r="I2702" t="inlineStr"/>
      <c r="J2702">
        <f>HYPERLINK("http://g1.globo.com/mato-grosso/noticia/2016/05/amigos-tentam-ajudar-haitiano-trazer-para-mt-o-filho-que-nao-ve-ha-3-anos.html", "URL")</f>
        <v/>
      </c>
      <c r="K2702">
        <f>HYPERLINK("https://raw.githubusercontent.com/marcosmapl/dataset_imigrantes/main/noticias_filtered/g1/haitianos/2016/04_mai/html/g1_1f71f334-231c-11ed-b24f-6dbe51e79fca_3430.html", "HTML")</f>
        <v/>
      </c>
      <c r="L2702">
        <f>HYPERLINK("https://raw.githubusercontent.com/marcosmapl/dataset_imigrantes/main/noticias_filtered/g1/haitianos/2016/04_mai/txt/g1_1f71f334-231c-11ed-b24f-6dbe51e79fca_3430.txt", "TXT")</f>
        <v/>
      </c>
    </row>
    <row r="2703">
      <c r="A2703" s="1" t="n">
        <v>2701</v>
      </c>
      <c r="B2703" t="n">
        <v>2016</v>
      </c>
      <c r="C2703" s="2" t="n">
        <v>42517.34791666667</v>
      </c>
      <c r="D2703" t="inlineStr">
        <is>
          <t>G1</t>
        </is>
      </c>
      <c r="E2703" t="inlineStr">
        <is>
          <t>VENEZUELANOS</t>
        </is>
      </c>
      <c r="F2703" t="inlineStr"/>
      <c r="G2703" t="inlineStr">
        <is>
          <t>SANCHISDA BBC</t>
        </is>
      </c>
      <c r="H2703" t="inlineStr">
        <is>
          <t>O QUE A TRÁGICA HISTÓRIA DO 'MENINO DO CARTAZ' COM CÂNCER REVELA SOBRE A CRISE VENEZUELANA</t>
        </is>
      </c>
      <c r="I2703" t="inlineStr"/>
      <c r="J2703">
        <f>HYPERLINK("http://g1.globo.com/mundo/noticia/2016/05/o-que-a-tragica-historia-do-menino-do-cartaz-com-cancer-revela-sobre-a-crise-venezuelana.html", "URL")</f>
        <v/>
      </c>
      <c r="K2703">
        <f>HYPERLINK("https://raw.githubusercontent.com/marcosmapl/dataset_imigrantes/main/noticias_filtered/g1/venezuelanos/2016/04_mai/html/g1_c79908e0-230d-11ed-b24f-6dbe51e79fca_2705.html", "HTML")</f>
        <v/>
      </c>
      <c r="L2703">
        <f>HYPERLINK("https://raw.githubusercontent.com/marcosmapl/dataset_imigrantes/main/noticias_filtered/g1/venezuelanos/2016/04_mai/txt/g1_c79908e0-230d-11ed-b24f-6dbe51e79fca_2705.txt", "TXT")</f>
        <v/>
      </c>
    </row>
    <row r="2704">
      <c r="A2704" s="1" t="n">
        <v>2702</v>
      </c>
      <c r="B2704" t="n">
        <v>2016</v>
      </c>
      <c r="C2704" s="2" t="n">
        <v>42515.61666666667</v>
      </c>
      <c r="D2704" t="inlineStr">
        <is>
          <t>G1</t>
        </is>
      </c>
      <c r="E2704" t="inlineStr">
        <is>
          <t>VENEZUELANOS</t>
        </is>
      </c>
      <c r="F2704" t="inlineStr"/>
      <c r="G2704" t="inlineStr">
        <is>
          <t>FP</t>
        </is>
      </c>
      <c r="H2704" t="inlineStr">
        <is>
          <t>OPOSIÇÃO VENEZUELANA SAI ÀS RUAS POR REFERENDO REVOGATÓRIO CONTRA MADURO</t>
        </is>
      </c>
      <c r="I2704" t="inlineStr"/>
      <c r="J2704">
        <f>HYPERLINK("http://g1.globo.com/mundo/noticia/2016/05/oposicao-venezuelana-sai-ruas-por-referendo-revogatorio-contra-maduro.html", "URL")</f>
        <v/>
      </c>
      <c r="K2704">
        <f>HYPERLINK("https://raw.githubusercontent.com/marcosmapl/dataset_imigrantes/main/noticias_filtered/g1/venezuelanos/2016/04_mai/html/g1_fe14c796-2309-11ed-b24f-6dbe51e79fca_2479.html", "HTML")</f>
        <v/>
      </c>
      <c r="L2704">
        <f>HYPERLINK("https://raw.githubusercontent.com/marcosmapl/dataset_imigrantes/main/noticias_filtered/g1/venezuelanos/2016/04_mai/txt/g1_fe14c796-2309-11ed-b24f-6dbe51e79fca_2479.txt", "TXT")</f>
        <v/>
      </c>
    </row>
    <row r="2705">
      <c r="A2705" s="1" t="n">
        <v>2703</v>
      </c>
      <c r="B2705" t="n">
        <v>2016</v>
      </c>
      <c r="C2705" s="2" t="n">
        <v>42513.68333333333</v>
      </c>
      <c r="D2705" t="inlineStr">
        <is>
          <t>G1</t>
        </is>
      </c>
      <c r="E2705" t="inlineStr">
        <is>
          <t>HAITIANOS</t>
        </is>
      </c>
      <c r="F2705" t="inlineStr"/>
      <c r="G2705" t="inlineStr">
        <is>
          <t>1 PIRACICABA E REGIÃO</t>
        </is>
      </c>
      <c r="H2705" t="inlineStr">
        <is>
          <t>PIRACICABA OFERECE CURSO GRATUITO DE PORTUGUÊS PARA HAITIANOS NA SEMTRE</t>
        </is>
      </c>
      <c r="I2705" t="inlineStr"/>
      <c r="J2705">
        <f>HYPERLINK("http://g1.globo.com/sp/piracicaba-regiao/noticia/2016/05/piracicaba-oferece-curso-gratuito-de-portugues-para-haitianos-na-semtre.html", "URL")</f>
        <v/>
      </c>
      <c r="K2705">
        <f>HYPERLINK("https://raw.githubusercontent.com/marcosmapl/dataset_imigrantes/main/noticias_filtered/g1/haitianos/2016/04_mai/html/g1_d66a1f82-22f7-11ed-b24f-6dbe51e79fca_2099.html", "HTML")</f>
        <v/>
      </c>
      <c r="L2705">
        <f>HYPERLINK("https://raw.githubusercontent.com/marcosmapl/dataset_imigrantes/main/noticias_filtered/g1/haitianos/2016/04_mai/txt/g1_d66a1f82-22f7-11ed-b24f-6dbe51e79fca_2099.txt", "TXT")</f>
        <v/>
      </c>
    </row>
    <row r="2706">
      <c r="A2706" s="1" t="n">
        <v>2704</v>
      </c>
      <c r="B2706" t="n">
        <v>2016</v>
      </c>
      <c r="C2706" s="2" t="n">
        <v>42511.40694444445</v>
      </c>
      <c r="D2706" t="inlineStr">
        <is>
          <t>G1</t>
        </is>
      </c>
      <c r="E2706" t="inlineStr">
        <is>
          <t>HAITIANOS</t>
        </is>
      </c>
      <c r="F2706" t="inlineStr"/>
      <c r="G2706" t="inlineStr">
        <is>
          <t xml:space="preserve"> FRANCISDO G1 RO</t>
        </is>
      </c>
      <c r="H2706" t="inlineStr">
        <is>
          <t>INSTITUIÇÕES E SOCIEDADE DEBATEM NUANCES DA ADOÇÃO EM PORTO VELHO</t>
        </is>
      </c>
      <c r="I2706" t="inlineStr"/>
      <c r="J2706">
        <f>HYPERLINK("http://g1.globo.com/ro/rondonia/noticia/2016/05/instituicoes-e-sociedade-debatem-nuances-da-adocao-em-porto-velho.html", "URL")</f>
        <v/>
      </c>
      <c r="K2706">
        <f>HYPERLINK("https://raw.githubusercontent.com/marcosmapl/dataset_imigrantes/main/noticias_filtered/g1/haitianos/2016/04_mai/html/g1_d0b2a3a6-230c-11ed-b24f-6dbe51e79fca_2649.html", "HTML")</f>
        <v/>
      </c>
      <c r="L2706">
        <f>HYPERLINK("https://raw.githubusercontent.com/marcosmapl/dataset_imigrantes/main/noticias_filtered/g1/haitianos/2016/04_mai/txt/g1_d0b2a3a6-230c-11ed-b24f-6dbe51e79fca_2649.txt", "TXT")</f>
        <v/>
      </c>
    </row>
    <row r="2707">
      <c r="A2707" s="1" t="n">
        <v>2705</v>
      </c>
      <c r="B2707" t="n">
        <v>2016</v>
      </c>
      <c r="C2707" s="2" t="n">
        <v>42510.54652777778</v>
      </c>
      <c r="D2707" t="inlineStr">
        <is>
          <t>G1</t>
        </is>
      </c>
      <c r="E2707" t="inlineStr">
        <is>
          <t>HAITIANOS</t>
        </is>
      </c>
      <c r="F2707" t="inlineStr"/>
      <c r="G2707" t="inlineStr">
        <is>
          <t>1 PR, COM INFORMAÇÕES DA RPC EM FOZ DO IGUAÇU</t>
        </is>
      </c>
      <c r="H2707" t="inlineStr">
        <is>
          <t>IMAGENS MOSTRAM MOMENTO EM QUE ESTUDANTE HAITIANO É AGREDIDO NO PR</t>
        </is>
      </c>
      <c r="I2707" t="inlineStr"/>
      <c r="J2707">
        <f>HYPERLINK("http://g1.globo.com/pr/oeste-sudoeste/noticia/2016/05/imagens-mostram-momento-em-que-estudante-haitiano-e-agredido-no-pr.html", "URL")</f>
        <v/>
      </c>
      <c r="K2707">
        <f>HYPERLINK("https://raw.githubusercontent.com/marcosmapl/dataset_imigrantes/main/noticias_filtered/g1/haitianos/2016/04_mai/html/g1_2e7a0614-2321-11ed-b24f-6dbe51e79fca_3683.html", "HTML")</f>
        <v/>
      </c>
      <c r="L2707">
        <f>HYPERLINK("https://raw.githubusercontent.com/marcosmapl/dataset_imigrantes/main/noticias_filtered/g1/haitianos/2016/04_mai/txt/g1_2e7a0614-2321-11ed-b24f-6dbe51e79fca_3683.txt", "TXT")</f>
        <v/>
      </c>
    </row>
    <row r="2708">
      <c r="A2708" s="1" t="n">
        <v>2706</v>
      </c>
      <c r="B2708" t="n">
        <v>2016</v>
      </c>
      <c r="C2708" s="2" t="n">
        <v>42506.85902777778</v>
      </c>
      <c r="D2708" t="inlineStr">
        <is>
          <t>G1</t>
        </is>
      </c>
      <c r="E2708" t="inlineStr">
        <is>
          <t>HAITIANOS</t>
        </is>
      </c>
      <c r="F2708" t="inlineStr"/>
      <c r="G2708" t="inlineStr">
        <is>
          <t>1 PR, COM INFORMAÇÕES DA RPC EM FOZ DO IGUAÇU</t>
        </is>
      </c>
      <c r="H2708" t="inlineStr">
        <is>
          <t>UNIVERSIDADE REPUDIA AGRESSÃO A ESTUDANTE HAITIANO EM FOZ DO IGUAÇU</t>
        </is>
      </c>
      <c r="I2708" t="inlineStr"/>
      <c r="J2708">
        <f>HYPERLINK("http://g1.globo.com/pr/oeste-sudoeste/noticia/2016/05/universidade-repudia-agressao-estudante-haitiano-em-foz-do-iguacu.html", "URL")</f>
        <v/>
      </c>
      <c r="K2708">
        <f>HYPERLINK("https://raw.githubusercontent.com/marcosmapl/dataset_imigrantes/main/noticias_filtered/g1/haitianos/2016/04_mai/html/g1_410b645a-22f2-11ed-b24f-6dbe51e79fca_1787.html", "HTML")</f>
        <v/>
      </c>
      <c r="L2708">
        <f>HYPERLINK("https://raw.githubusercontent.com/marcosmapl/dataset_imigrantes/main/noticias_filtered/g1/haitianos/2016/04_mai/txt/g1_410b645a-22f2-11ed-b24f-6dbe51e79fca_1787.txt", "TXT")</f>
        <v/>
      </c>
    </row>
    <row r="2709">
      <c r="A2709" s="1" t="n">
        <v>2707</v>
      </c>
      <c r="B2709" t="n">
        <v>2016</v>
      </c>
      <c r="C2709" s="2" t="n">
        <v>42506.54166666666</v>
      </c>
      <c r="D2709" t="inlineStr">
        <is>
          <t>G1</t>
        </is>
      </c>
      <c r="E2709" t="inlineStr">
        <is>
          <t>HAITIANOS</t>
        </is>
      </c>
      <c r="F2709" t="inlineStr"/>
      <c r="G2709" t="inlineStr">
        <is>
          <t>1 PR, COM  INFORMAÇÕES DA RPC EM FOZ DO IGUAÇU</t>
        </is>
      </c>
      <c r="H2709" t="inlineStr">
        <is>
          <t>HAITIANO É VITIMA DE AGRESSÃO NO CENTRO DE FOZ DO IGUAÇU, NO PARANÁ</t>
        </is>
      </c>
      <c r="I2709" t="inlineStr"/>
      <c r="J2709">
        <f>HYPERLINK("http://g1.globo.com/pr/oeste-sudoeste/noticia/2016/05/haitiano-e-vitima-de-agressao-no-centro-de-foz-do-iguacu-no-parana.html", "URL")</f>
        <v/>
      </c>
      <c r="K2709">
        <f>HYPERLINK("https://raw.githubusercontent.com/marcosmapl/dataset_imigrantes/main/noticias_filtered/g1/haitianos/2016/04_mai/html/g1_cbfdefb0-231f-11ed-b24f-6dbe51e79fca_3644.html", "HTML")</f>
        <v/>
      </c>
      <c r="L2709">
        <f>HYPERLINK("https://raw.githubusercontent.com/marcosmapl/dataset_imigrantes/main/noticias_filtered/g1/haitianos/2016/04_mai/txt/g1_cbfdefb0-231f-11ed-b24f-6dbe51e79fca_3644.txt", "TXT")</f>
        <v/>
      </c>
    </row>
    <row r="2710">
      <c r="A2710" s="1" t="n">
        <v>2708</v>
      </c>
      <c r="B2710" t="n">
        <v>2016</v>
      </c>
      <c r="C2710" s="2" t="n">
        <v>42504.86597222222</v>
      </c>
      <c r="D2710" t="inlineStr">
        <is>
          <t>G1</t>
        </is>
      </c>
      <c r="E2710" t="inlineStr">
        <is>
          <t>VENEZUELANOS</t>
        </is>
      </c>
      <c r="F2710" t="inlineStr"/>
      <c r="G2710" t="inlineStr"/>
      <c r="H2710" t="inlineStr">
        <is>
          <t>OPOSIÇÃO VENEZUELANA CRITICA ESTADO DE EXCEÇÃO E EMERGÊNCIA ECONÔMICA</t>
        </is>
      </c>
      <c r="I2710" t="inlineStr"/>
      <c r="J2710">
        <f>HYPERLINK("http://g1.globo.com/jornal-nacional/noticia/2016/05/oposicao-venezuelana-critica-estado-de-excecao-e-emergencia-economica.html", "URL")</f>
        <v/>
      </c>
      <c r="K2710">
        <f>HYPERLINK("https://raw.githubusercontent.com/marcosmapl/dataset_imigrantes/main/noticias_filtered/g1/venezuelanos/2016/04_mai/html/g1_29878976-231a-11ed-b24f-6dbe51e79fca_3320.html", "HTML")</f>
        <v/>
      </c>
      <c r="L2710">
        <f>HYPERLINK("https://raw.githubusercontent.com/marcosmapl/dataset_imigrantes/main/noticias_filtered/g1/venezuelanos/2016/04_mai/txt/g1_29878976-231a-11ed-b24f-6dbe51e79fca_3320.txt", "TXT")</f>
        <v/>
      </c>
    </row>
    <row r="2711">
      <c r="A2711" s="1" t="n">
        <v>2709</v>
      </c>
      <c r="B2711" t="n">
        <v>2016</v>
      </c>
      <c r="C2711" s="2" t="n">
        <v>42493.66041666667</v>
      </c>
      <c r="D2711" t="inlineStr">
        <is>
          <t>G1</t>
        </is>
      </c>
      <c r="E2711" t="inlineStr">
        <is>
          <t>VENEZUELANOS</t>
        </is>
      </c>
      <c r="F2711" t="inlineStr"/>
      <c r="G2711" t="inlineStr">
        <is>
          <t>1 CE</t>
        </is>
      </c>
      <c r="H2711" t="inlineStr">
        <is>
          <t>HOMEM É PRESO NO CE COM 1 MILHÃO EM MOEDA VENEZUELANA; VÍDEO</t>
        </is>
      </c>
      <c r="I2711" t="inlineStr"/>
      <c r="J2711">
        <f>HYPERLINK("http://g1.globo.com/ceara/noticia/2016/05/alagoano-e-preso-em-onibus-no-ceara-com-1-milhao-em-moeda-venezuelana.html", "URL")</f>
        <v/>
      </c>
      <c r="K2711">
        <f>HYPERLINK("https://raw.githubusercontent.com/marcosmapl/dataset_imigrantes/main/noticias_filtered/g1/venezuelanos/2016/04_mai/html/g1_3976f870-2316-11ed-b24f-6dbe51e79fca_3134.html", "HTML")</f>
        <v/>
      </c>
      <c r="L2711">
        <f>HYPERLINK("https://raw.githubusercontent.com/marcosmapl/dataset_imigrantes/main/noticias_filtered/g1/venezuelanos/2016/04_mai/txt/g1_3976f870-2316-11ed-b24f-6dbe51e79fca_3134.txt", "TXT")</f>
        <v/>
      </c>
    </row>
    <row r="2712">
      <c r="A2712" s="1" t="n">
        <v>2710</v>
      </c>
      <c r="B2712" t="n">
        <v>2016</v>
      </c>
      <c r="C2712" s="2" t="n">
        <v>42490.80486111111</v>
      </c>
      <c r="D2712" t="inlineStr">
        <is>
          <t>A CRITICA</t>
        </is>
      </c>
      <c r="E2712" t="inlineStr">
        <is>
          <t>VENEZUELANOS</t>
        </is>
      </c>
      <c r="F2712" t="inlineStr">
        <is>
          <t>ESPORTES</t>
        </is>
      </c>
      <c r="G2712" t="inlineStr">
        <is>
          <t>ACRÍTICA.COM</t>
        </is>
      </c>
      <c r="H2712" t="inlineStr">
        <is>
          <t>FELIPE MELO EM ROTA DE COLISÃO COM O COMENTARISTA NETO</t>
        </is>
      </c>
      <c r="I2712" t="inlineStr">
        <is>
          <t>AS FARPAS ENTRE O VOLANTE DA INTER DE MILÃO E DO COMENTARISTA DA BAND GANHARAM UM NOVO EPISÓDIO, DESTA VEZ, MELO PUBLICOU A MENSAGEM NO SEU FACEBOOK.</t>
        </is>
      </c>
      <c r="J2712">
        <f>HYPERLINK("https://www.acritica.com/esportes/felipe-melo-em-rota-de-colis-o-com-o-comentarista-neto-1.142649", "URL")</f>
        <v/>
      </c>
      <c r="K2712">
        <f>HYPERLINK("https://raw.githubusercontent.com/marcosmapl/dataset_imigrantes/main/noticias_filtered/a_critica/venezuelanos/2016/03_abr/html/1.142649_1186.html", "HTML")</f>
        <v/>
      </c>
      <c r="L2712">
        <f>HYPERLINK("https://raw.githubusercontent.com/marcosmapl/dataset_imigrantes/main/noticias_filtered/a_critica/venezuelanos/2016/03_abr/txt/1.142649_1186.txt", "TXT")</f>
        <v/>
      </c>
    </row>
    <row r="2713">
      <c r="A2713" s="1" t="n">
        <v>2711</v>
      </c>
      <c r="B2713" t="n">
        <v>2016</v>
      </c>
      <c r="C2713" s="2" t="n">
        <v>42490.47638888889</v>
      </c>
      <c r="D2713" t="inlineStr">
        <is>
          <t>G1</t>
        </is>
      </c>
      <c r="E2713" t="inlineStr">
        <is>
          <t>HAITIANOS</t>
        </is>
      </c>
      <c r="F2713" t="inlineStr"/>
      <c r="G2713" t="inlineStr">
        <is>
          <t>1 AC</t>
        </is>
      </c>
      <c r="H2713" t="inlineStr">
        <is>
          <t>PRF-AC PRENDE HAITIANO COM DOCUMENTAÇÃO FALSA NO INTERIOR DO AC</t>
        </is>
      </c>
      <c r="I2713" t="inlineStr"/>
      <c r="J2713">
        <f>HYPERLINK("http://g1.globo.com/ac/acre/noticia/2016/04/prf-ac-prende-haitiano-com-documentacao-falsa-no-interior-do-ac.html", "URL")</f>
        <v/>
      </c>
      <c r="K2713">
        <f>HYPERLINK("https://raw.githubusercontent.com/marcosmapl/dataset_imigrantes/main/noticias_filtered/g1/haitianos/2016/03_abr/html/g1_536821e0-2326-11ed-b24f-6dbe51e79fca_3969.html", "HTML")</f>
        <v/>
      </c>
      <c r="L2713">
        <f>HYPERLINK("https://raw.githubusercontent.com/marcosmapl/dataset_imigrantes/main/noticias_filtered/g1/haitianos/2016/03_abr/txt/g1_536821e0-2326-11ed-b24f-6dbe51e79fca_3969.txt", "TXT")</f>
        <v/>
      </c>
    </row>
    <row r="2714">
      <c r="A2714" s="1" t="n">
        <v>2712</v>
      </c>
      <c r="B2714" t="n">
        <v>2016</v>
      </c>
      <c r="C2714" s="2" t="n">
        <v>42489.41597222222</v>
      </c>
      <c r="D2714" t="inlineStr">
        <is>
          <t>G1</t>
        </is>
      </c>
      <c r="E2714" t="inlineStr">
        <is>
          <t>HAITIANOS</t>
        </is>
      </c>
      <c r="F2714" t="inlineStr"/>
      <c r="G2714" t="inlineStr">
        <is>
          <t>1 GO</t>
        </is>
      </c>
      <c r="H2714" t="inlineStr">
        <is>
          <t>EXÉRCITO FAZ SIMULAÇÃO DE CONFLITO EM GOIÁS ANTES DE MISSÃO NO HAITI</t>
        </is>
      </c>
      <c r="I2714" t="inlineStr"/>
      <c r="J2714">
        <f>HYPERLINK("http://g1.globo.com/goias/noticia/2016/04/exercito-faz-simulacao-de-conflito-em-goias-antes-de-missao-no-haiti.html", "URL")</f>
        <v/>
      </c>
      <c r="K2714">
        <f>HYPERLINK("https://raw.githubusercontent.com/marcosmapl/dataset_imigrantes/main/noticias_filtered/g1/haitianos/2016/03_abr/html/g1_1c8c2852-230c-11ed-b24f-6dbe51e79fca_2605.html", "HTML")</f>
        <v/>
      </c>
      <c r="L2714">
        <f>HYPERLINK("https://raw.githubusercontent.com/marcosmapl/dataset_imigrantes/main/noticias_filtered/g1/haitianos/2016/03_abr/txt/g1_1c8c2852-230c-11ed-b24f-6dbe51e79fca_2605.txt", "TXT")</f>
        <v/>
      </c>
    </row>
    <row r="2715">
      <c r="A2715" s="1" t="n">
        <v>2713</v>
      </c>
      <c r="B2715" t="n">
        <v>2016</v>
      </c>
      <c r="C2715" s="2" t="n">
        <v>42485.83611111111</v>
      </c>
      <c r="D2715" t="inlineStr">
        <is>
          <t>G1</t>
        </is>
      </c>
      <c r="E2715" t="inlineStr">
        <is>
          <t>VENEZUELANOS</t>
        </is>
      </c>
      <c r="F2715" t="inlineStr"/>
      <c r="G2715" t="inlineStr">
        <is>
          <t>EUTERS</t>
        </is>
      </c>
      <c r="H2715" t="inlineStr">
        <is>
          <t>JUDICIÁRIO BLOQUEIA TÁTICA DA OPOSIÇÃO VENEZUELANA PARA DESTITUIR MADURO</t>
        </is>
      </c>
      <c r="I2715" t="inlineStr"/>
      <c r="J2715">
        <f>HYPERLINK("http://g1.globo.com/mundo/noticia/2016/04/judiciario-bloqueia-tatica-da-oposicao-venezuelana-para-destituir-maduro.html", "URL")</f>
        <v/>
      </c>
      <c r="K2715">
        <f>HYPERLINK("https://raw.githubusercontent.com/marcosmapl/dataset_imigrantes/main/noticias_filtered/g1/venezuelanos/2016/03_abr/html/g1_5bfc22b4-2328-11ed-b24f-6dbe51e79fca_4075.html", "HTML")</f>
        <v/>
      </c>
      <c r="L2715">
        <f>HYPERLINK("https://raw.githubusercontent.com/marcosmapl/dataset_imigrantes/main/noticias_filtered/g1/venezuelanos/2016/03_abr/txt/g1_5bfc22b4-2328-11ed-b24f-6dbe51e79fca_4075.txt", "TXT")</f>
        <v/>
      </c>
    </row>
    <row r="2716">
      <c r="A2716" s="1" t="n">
        <v>2714</v>
      </c>
      <c r="B2716" t="n">
        <v>2016</v>
      </c>
      <c r="C2716" s="2" t="n">
        <v>42483.45138888889</v>
      </c>
      <c r="D2716" t="inlineStr">
        <is>
          <t>G1</t>
        </is>
      </c>
      <c r="E2716" t="inlineStr">
        <is>
          <t>VENEZUELANOS</t>
        </is>
      </c>
      <c r="F2716" t="inlineStr"/>
      <c r="G2716" t="inlineStr">
        <is>
          <t>1 BAURU E MARÍLIA</t>
        </is>
      </c>
      <c r="H2716" t="inlineStr">
        <is>
          <t>POLÍCIA RODOVIÁRIA APREENDE DINHEIRO VENEZUELANO EM ASSIS</t>
        </is>
      </c>
      <c r="I2716" t="inlineStr"/>
      <c r="J2716">
        <f>HYPERLINK("http://g1.globo.com/sp/bauru-marilia/noticia/2016/04/policia-rodoviaria-apreende-dinheiro-venezuelano-em-assis.html", "URL")</f>
        <v/>
      </c>
      <c r="K2716">
        <f>HYPERLINK("https://raw.githubusercontent.com/marcosmapl/dataset_imigrantes/main/noticias_filtered/g1/venezuelanos/2016/03_abr/html/g1_31592c1a-2309-11ed-b24f-6dbe51e79fca_2433.html", "HTML")</f>
        <v/>
      </c>
      <c r="L2716">
        <f>HYPERLINK("https://raw.githubusercontent.com/marcosmapl/dataset_imigrantes/main/noticias_filtered/g1/venezuelanos/2016/03_abr/txt/g1_31592c1a-2309-11ed-b24f-6dbe51e79fca_2433.txt", "TXT")</f>
        <v/>
      </c>
    </row>
    <row r="2717">
      <c r="A2717" s="1" t="n">
        <v>2715</v>
      </c>
      <c r="B2717" t="n">
        <v>2016</v>
      </c>
      <c r="C2717" s="2" t="n">
        <v>42473.49652777778</v>
      </c>
      <c r="D2717" t="inlineStr">
        <is>
          <t>G1</t>
        </is>
      </c>
      <c r="E2717" t="inlineStr">
        <is>
          <t>HAITIANOS</t>
        </is>
      </c>
      <c r="F2717" t="inlineStr"/>
      <c r="G2717" t="inlineStr">
        <is>
          <t>1 AM</t>
        </is>
      </c>
      <c r="H2717" t="inlineStr">
        <is>
          <t>SEMANA INTERNACIONAL DO LIVRO INFANTIL SERÁ REALIZADA EM MANAUS</t>
        </is>
      </c>
      <c r="I2717" t="inlineStr"/>
      <c r="J2717">
        <f>HYPERLINK("http://g1.globo.com/am/amazonas/noticia/2016/04/semana-internacional-do-livro-infantil-sera-realizada-em-manaus.html", "URL")</f>
        <v/>
      </c>
      <c r="K2717">
        <f>HYPERLINK("https://raw.githubusercontent.com/marcosmapl/dataset_imigrantes/main/noticias_filtered/g1/haitianos/2016/03_abr/html/g1_f8045d2e-2329-11ed-b24f-6dbe51e79fca_4150.html", "HTML")</f>
        <v/>
      </c>
      <c r="L2717">
        <f>HYPERLINK("https://raw.githubusercontent.com/marcosmapl/dataset_imigrantes/main/noticias_filtered/g1/haitianos/2016/03_abr/txt/g1_f8045d2e-2329-11ed-b24f-6dbe51e79fca_4150.txt", "TXT")</f>
        <v/>
      </c>
    </row>
    <row r="2718">
      <c r="A2718" s="1" t="n">
        <v>2716</v>
      </c>
      <c r="B2718" t="n">
        <v>2016</v>
      </c>
      <c r="C2718" s="2" t="n">
        <v>42472.49305555555</v>
      </c>
      <c r="D2718" t="inlineStr">
        <is>
          <t>G1</t>
        </is>
      </c>
      <c r="E2718" t="inlineStr">
        <is>
          <t>HAITIANOS</t>
        </is>
      </c>
      <c r="F2718" t="inlineStr"/>
      <c r="G2718" t="inlineStr">
        <is>
          <t>1 PR, EM  FOZ DO IGUAÇU</t>
        </is>
      </c>
      <c r="H2718" t="inlineStr">
        <is>
          <t>UNILA OFERECE MAIS DE 700 VAGAS EM ATIVIDADES E CURSOS PARA COMUNIDADE</t>
        </is>
      </c>
      <c r="I2718" t="inlineStr"/>
      <c r="J2718">
        <f>HYPERLINK("http://g1.globo.com/pr/parana/educacao/noticia/2016/04/unila-oferece-mais-de-700-vagas-em-atividades-e-cursos-para-comunidade.html", "URL")</f>
        <v/>
      </c>
      <c r="K2718">
        <f>HYPERLINK("https://raw.githubusercontent.com/marcosmapl/dataset_imigrantes/main/noticias_filtered/g1/haitianos/2016/03_abr/html/g1_f9e5d886-2318-11ed-b24f-6dbe51e79fca_3291.html", "HTML")</f>
        <v/>
      </c>
      <c r="L2718">
        <f>HYPERLINK("https://raw.githubusercontent.com/marcosmapl/dataset_imigrantes/main/noticias_filtered/g1/haitianos/2016/03_abr/txt/g1_f9e5d886-2318-11ed-b24f-6dbe51e79fca_3291.txt", "TXT")</f>
        <v/>
      </c>
    </row>
    <row r="2719">
      <c r="A2719" s="1" t="n">
        <v>2717</v>
      </c>
      <c r="B2719" t="n">
        <v>2016</v>
      </c>
      <c r="C2719" s="2" t="n">
        <v>42471.48263888889</v>
      </c>
      <c r="D2719" t="inlineStr">
        <is>
          <t>G1</t>
        </is>
      </c>
      <c r="E2719" t="inlineStr">
        <is>
          <t>VENEZUELANOS</t>
        </is>
      </c>
      <c r="F2719" t="inlineStr"/>
      <c r="G2719" t="inlineStr">
        <is>
          <t>Y COSTADO G1 RR</t>
        </is>
      </c>
      <c r="H2719" t="inlineStr">
        <is>
          <t>DOIS HOMENS SÃO PRESOS EM RR COM R$ 3 MILHÕES EM MOEDA VENEZUELANA</t>
        </is>
      </c>
      <c r="I2719" t="inlineStr"/>
      <c r="J2719">
        <f>HYPERLINK("http://g1.globo.com/rr/roraima/noticia/2016/04/dois-homens-sao-presos-em-roraima-com-r-3-mi-em-dinheiro-da-venezuela.html", "URL")</f>
        <v/>
      </c>
      <c r="K2719">
        <f>HYPERLINK("https://raw.githubusercontent.com/marcosmapl/dataset_imigrantes/main/noticias_filtered/g1/venezuelanos/2016/03_abr/html/g1_a7d9491a-2309-11ed-b24f-6dbe51e79fca_2456.html", "HTML")</f>
        <v/>
      </c>
      <c r="L2719">
        <f>HYPERLINK("https://raw.githubusercontent.com/marcosmapl/dataset_imigrantes/main/noticias_filtered/g1/venezuelanos/2016/03_abr/txt/g1_a7d9491a-2309-11ed-b24f-6dbe51e79fca_2456.txt", "TXT")</f>
        <v/>
      </c>
    </row>
    <row r="2720">
      <c r="A2720" s="1" t="n">
        <v>2718</v>
      </c>
      <c r="B2720" t="n">
        <v>2016</v>
      </c>
      <c r="C2720" s="2" t="n">
        <v>42465.36736111111</v>
      </c>
      <c r="D2720" t="inlineStr">
        <is>
          <t>G1</t>
        </is>
      </c>
      <c r="E2720" t="inlineStr">
        <is>
          <t>HAITIANOS</t>
        </is>
      </c>
      <c r="F2720" t="inlineStr"/>
      <c r="G2720" t="inlineStr">
        <is>
          <t>DA CAMPOSDO G1 SOROCABA E JUNDIAÍ</t>
        </is>
      </c>
      <c r="H2720" t="inlineStr">
        <is>
          <t>'QUIS VER SE O BRASIL ERA MESMO UM PAÍS DE TODOS', DIZ REFUGIADO HAITIANO</t>
        </is>
      </c>
      <c r="I2720" t="inlineStr"/>
      <c r="J2720">
        <f>HYPERLINK("http://g1.globo.com/sao-paulo/sorocaba-jundiai/noticia/2016/04/quis-ver-se-o-brasil-era-mesmo-um-pais-de-todos-diz-refugiado-haitiano.html", "URL")</f>
        <v/>
      </c>
      <c r="K2720">
        <f>HYPERLINK("https://raw.githubusercontent.com/marcosmapl/dataset_imigrantes/main/noticias_filtered/g1/haitianos/2016/03_abr/html/g1_dadae1b6-2313-11ed-b24f-6dbe51e79fca_3030.html", "HTML")</f>
        <v/>
      </c>
      <c r="L2720">
        <f>HYPERLINK("https://raw.githubusercontent.com/marcosmapl/dataset_imigrantes/main/noticias_filtered/g1/haitianos/2016/03_abr/txt/g1_dadae1b6-2313-11ed-b24f-6dbe51e79fca_3030.txt", "TXT")</f>
        <v/>
      </c>
    </row>
    <row r="2721">
      <c r="A2721" s="1" t="n">
        <v>2719</v>
      </c>
      <c r="B2721" t="n">
        <v>2016</v>
      </c>
      <c r="C2721" s="2" t="n">
        <v>42464.39583333334</v>
      </c>
      <c r="D2721" t="inlineStr">
        <is>
          <t>G1</t>
        </is>
      </c>
      <c r="E2721" t="inlineStr">
        <is>
          <t>HAITIANOS</t>
        </is>
      </c>
      <c r="F2721" t="inlineStr"/>
      <c r="G2721" t="inlineStr">
        <is>
          <t>1 AM</t>
        </is>
      </c>
      <c r="H2721" t="inlineStr">
        <is>
          <t>AÇÃO SOCIAL ARRECADA LIVROS PARA BIBLIOTECA DE ESCOLA PÚBLICA NO AM</t>
        </is>
      </c>
      <c r="I2721" t="inlineStr"/>
      <c r="J2721">
        <f>HYPERLINK("http://g1.globo.com/am/amazonas/noticia/2016/04/acao-social-arrecada-livros-para-biblioteca-de-escola-publica-no-am.html", "URL")</f>
        <v/>
      </c>
      <c r="K2721">
        <f>HYPERLINK("https://raw.githubusercontent.com/marcosmapl/dataset_imigrantes/main/noticias_filtered/g1/haitianos/2016/03_abr/html/g1_4fe681ea-2314-11ed-b24f-6dbe51e79fca_3057.html", "HTML")</f>
        <v/>
      </c>
      <c r="L2721">
        <f>HYPERLINK("https://raw.githubusercontent.com/marcosmapl/dataset_imigrantes/main/noticias_filtered/g1/haitianos/2016/03_abr/txt/g1_4fe681ea-2314-11ed-b24f-6dbe51e79fca_3057.txt", "TXT")</f>
        <v/>
      </c>
    </row>
    <row r="2722">
      <c r="A2722" s="1" t="n">
        <v>2720</v>
      </c>
      <c r="B2722" t="n">
        <v>2016</v>
      </c>
      <c r="C2722" s="2" t="n">
        <v>42459.63819444444</v>
      </c>
      <c r="D2722" t="inlineStr">
        <is>
          <t>G1</t>
        </is>
      </c>
      <c r="E2722" t="inlineStr">
        <is>
          <t>HAITIANOS</t>
        </is>
      </c>
      <c r="F2722" t="inlineStr"/>
      <c r="G2722" t="inlineStr">
        <is>
          <t>1 MT</t>
        </is>
      </c>
      <c r="H2722" t="inlineStr">
        <is>
          <t>JOVEM DIZ TER ATIRADO CONTRA HAITIANOS APÓS UM DELES NEGAR CERVEJA A ELE</t>
        </is>
      </c>
      <c r="I2722" t="inlineStr"/>
      <c r="J2722">
        <f>HYPERLINK("http://g1.globo.com/mato-grosso/noticia/2016/03/jovem-diz-ter-baleado-haitianos-apos-um-deles-se-negar-pagar-cerveja.html", "URL")</f>
        <v/>
      </c>
      <c r="K2722">
        <f>HYPERLINK("https://raw.githubusercontent.com/marcosmapl/dataset_imigrantes/main/noticias_filtered/g1/haitianos/2016/02_mar/html/g1_9457a32e-22f9-11ed-b24f-6dbe51e79fca_2171.html", "HTML")</f>
        <v/>
      </c>
      <c r="L2722">
        <f>HYPERLINK("https://raw.githubusercontent.com/marcosmapl/dataset_imigrantes/main/noticias_filtered/g1/haitianos/2016/02_mar/txt/g1_9457a32e-22f9-11ed-b24f-6dbe51e79fca_2171.txt", "TXT")</f>
        <v/>
      </c>
    </row>
    <row r="2723">
      <c r="A2723" s="1" t="n">
        <v>2721</v>
      </c>
      <c r="B2723" t="n">
        <v>2016</v>
      </c>
      <c r="C2723" s="2" t="n">
        <v>42455.49583333333</v>
      </c>
      <c r="D2723" t="inlineStr">
        <is>
          <t>G1</t>
        </is>
      </c>
      <c r="E2723" t="inlineStr">
        <is>
          <t>HAITIANOS</t>
        </is>
      </c>
      <c r="F2723" t="inlineStr"/>
      <c r="G2723" t="inlineStr">
        <is>
          <t>1 RO</t>
        </is>
      </c>
      <c r="H2723" t="inlineStr">
        <is>
          <t>IMIGRANTE É PRESO POR SUSPEITA DE ESTUPRO A CRIANÇA EM PORTO VELHO</t>
        </is>
      </c>
      <c r="I2723" t="inlineStr"/>
      <c r="J2723">
        <f>HYPERLINK("http://g1.globo.com/ro/rondonia/noticia/2016/03/haitiano-e-preso-por-suspeita-de-estupro-crianca-em-porto-velho.html", "URL")</f>
        <v/>
      </c>
      <c r="K2723">
        <f>HYPERLINK("https://raw.githubusercontent.com/marcosmapl/dataset_imigrantes/main/noticias_filtered/g1/haitianos/2016/02_mar/html/g1_0b3f39e8-2327-11ed-b24f-6dbe51e79fca_4014.html", "HTML")</f>
        <v/>
      </c>
      <c r="L2723">
        <f>HYPERLINK("https://raw.githubusercontent.com/marcosmapl/dataset_imigrantes/main/noticias_filtered/g1/haitianos/2016/02_mar/txt/g1_0b3f39e8-2327-11ed-b24f-6dbe51e79fca_4014.txt", "TXT")</f>
        <v/>
      </c>
    </row>
    <row r="2724">
      <c r="A2724" s="1" t="n">
        <v>2722</v>
      </c>
      <c r="B2724" t="n">
        <v>2016</v>
      </c>
      <c r="C2724" s="2" t="n">
        <v>42449.54166666666</v>
      </c>
      <c r="D2724" t="inlineStr">
        <is>
          <t>G1</t>
        </is>
      </c>
      <c r="E2724" t="inlineStr">
        <is>
          <t>HAITIANOS</t>
        </is>
      </c>
      <c r="F2724" t="inlineStr"/>
      <c r="G2724" t="inlineStr">
        <is>
          <t>1 MT</t>
        </is>
      </c>
      <c r="H2724" t="inlineStr">
        <is>
          <t>QUATRO HAITIANOS BALEADOS EM BAR DE CUIABÁ RECEBEM ALTA DE HOSPITAL</t>
        </is>
      </c>
      <c r="I2724" t="inlineStr"/>
      <c r="J2724">
        <f>HYPERLINK("http://g1.globo.com/mato-grosso/noticia/2016/03/quatro-haitianos-baleados-em-bar-de-cuiaba-recebem-alta-de-hospital.html", "URL")</f>
        <v/>
      </c>
      <c r="K2724">
        <f>HYPERLINK("https://raw.githubusercontent.com/marcosmapl/dataset_imigrantes/main/noticias_filtered/g1/haitianos/2016/02_mar/html/g1_1e289ad6-22fa-11ed-b24f-6dbe51e79fca_2199.html", "HTML")</f>
        <v/>
      </c>
      <c r="L2724">
        <f>HYPERLINK("https://raw.githubusercontent.com/marcosmapl/dataset_imigrantes/main/noticias_filtered/g1/haitianos/2016/02_mar/txt/g1_1e289ad6-22fa-11ed-b24f-6dbe51e79fca_2199.txt", "TXT")</f>
        <v/>
      </c>
    </row>
    <row r="2725">
      <c r="A2725" s="1" t="n">
        <v>2723</v>
      </c>
      <c r="B2725" t="n">
        <v>2016</v>
      </c>
      <c r="C2725" s="2" t="n">
        <v>42448.81736111111</v>
      </c>
      <c r="D2725" t="inlineStr">
        <is>
          <t>G1</t>
        </is>
      </c>
      <c r="E2725" t="inlineStr">
        <is>
          <t>HAITIANOS</t>
        </is>
      </c>
      <c r="F2725" t="inlineStr"/>
      <c r="G2725" t="inlineStr">
        <is>
          <t>1 MT</t>
        </is>
      </c>
      <c r="H2725" t="inlineStr">
        <is>
          <t>QUATRO HAITIANOS SÃO INTERNADOS APÓS SEREM BALEADOS EM BAR DE CUIABÁ</t>
        </is>
      </c>
      <c r="I2725" t="inlineStr"/>
      <c r="J2725">
        <f>HYPERLINK("http://g1.globo.com/mato-grosso/noticia/2016/03/quatro-haitianos-sao-internados-apos-serem-baleados-em-bar-de-cuiaba.html", "URL")</f>
        <v/>
      </c>
      <c r="K2725">
        <f>HYPERLINK("https://raw.githubusercontent.com/marcosmapl/dataset_imigrantes/main/noticias_filtered/g1/haitianos/2016/02_mar/html/g1_37bcc30a-22f5-11ed-b24f-6dbe51e79fca_1937.html", "HTML")</f>
        <v/>
      </c>
      <c r="L2725">
        <f>HYPERLINK("https://raw.githubusercontent.com/marcosmapl/dataset_imigrantes/main/noticias_filtered/g1/haitianos/2016/02_mar/txt/g1_37bcc30a-22f5-11ed-b24f-6dbe51e79fca_1937.txt", "TXT")</f>
        <v/>
      </c>
    </row>
    <row r="2726">
      <c r="A2726" s="1" t="n">
        <v>2724</v>
      </c>
      <c r="B2726" t="n">
        <v>2016</v>
      </c>
      <c r="C2726" s="2" t="n">
        <v>42446.675</v>
      </c>
      <c r="D2726" t="inlineStr">
        <is>
          <t>G1</t>
        </is>
      </c>
      <c r="E2726" t="inlineStr">
        <is>
          <t>HAITIANOS</t>
        </is>
      </c>
      <c r="F2726" t="inlineStr"/>
      <c r="G2726" t="inlineStr">
        <is>
          <t>1 MT</t>
        </is>
      </c>
      <c r="H2726" t="inlineStr">
        <is>
          <t>HAITIANO PARAPLÉGICO APÓS LEVAR TIRO RECEBE ALTA, MAS NÃO TEM PARA ONDE IR</t>
        </is>
      </c>
      <c r="I2726" t="inlineStr"/>
      <c r="J2726">
        <f>HYPERLINK("http://g1.globo.com/mato-grosso/noticia/2016/03/haitiano-paraplegico-apos-levar-tiro-recebe-alta-mas-nao-tem-para-onde-ir.html", "URL")</f>
        <v/>
      </c>
      <c r="K2726">
        <f>HYPERLINK("https://raw.githubusercontent.com/marcosmapl/dataset_imigrantes/main/noticias_filtered/g1/haitianos/2016/02_mar/html/g1_30088024-2320-11ed-b24f-6dbe51e79fca_3668.html", "HTML")</f>
        <v/>
      </c>
      <c r="L2726">
        <f>HYPERLINK("https://raw.githubusercontent.com/marcosmapl/dataset_imigrantes/main/noticias_filtered/g1/haitianos/2016/02_mar/txt/g1_30088024-2320-11ed-b24f-6dbe51e79fca_3668.txt", "TXT")</f>
        <v/>
      </c>
    </row>
    <row r="2727">
      <c r="A2727" s="1" t="n">
        <v>2725</v>
      </c>
      <c r="B2727" t="n">
        <v>2016</v>
      </c>
      <c r="C2727" s="2" t="n">
        <v>42441.74652777778</v>
      </c>
      <c r="D2727" t="inlineStr">
        <is>
          <t>G1</t>
        </is>
      </c>
      <c r="E2727" t="inlineStr">
        <is>
          <t>VENEZUELANOS</t>
        </is>
      </c>
      <c r="F2727" t="inlineStr"/>
      <c r="G2727" t="inlineStr">
        <is>
          <t>EUTERS</t>
        </is>
      </c>
      <c r="H2727" t="inlineStr">
        <is>
          <t>OPOSIÇÃO VENEZUELANA COMEÇA PROTESTOS E MADURO RESPONDE</t>
        </is>
      </c>
      <c r="I2727" t="inlineStr"/>
      <c r="J2727">
        <f>HYPERLINK("http://g1.globo.com/mundo/noticia/2016/03/oposicao-venezuelana-comeca-protestos-e-maduro-responde.html", "URL")</f>
        <v/>
      </c>
      <c r="K2727">
        <f>HYPERLINK("https://raw.githubusercontent.com/marcosmapl/dataset_imigrantes/main/noticias_filtered/g1/venezuelanos/2016/02_mar/html/g1_2b2226b8-230d-11ed-b24f-6dbe51e79fca_2670.html", "HTML")</f>
        <v/>
      </c>
      <c r="L2727">
        <f>HYPERLINK("https://raw.githubusercontent.com/marcosmapl/dataset_imigrantes/main/noticias_filtered/g1/venezuelanos/2016/02_mar/txt/g1_2b2226b8-230d-11ed-b24f-6dbe51e79fca_2670.txt", "TXT")</f>
        <v/>
      </c>
    </row>
    <row r="2728">
      <c r="A2728" s="1" t="n">
        <v>2726</v>
      </c>
      <c r="B2728" t="n">
        <v>2016</v>
      </c>
      <c r="C2728" s="2" t="n">
        <v>42439.72916666666</v>
      </c>
      <c r="D2728" t="inlineStr">
        <is>
          <t>G1</t>
        </is>
      </c>
      <c r="E2728" t="inlineStr">
        <is>
          <t>VENEZUELANOS</t>
        </is>
      </c>
      <c r="F2728" t="inlineStr"/>
      <c r="G2728" t="inlineStr">
        <is>
          <t>FP</t>
        </is>
      </c>
      <c r="H2728" t="inlineStr">
        <is>
          <t>OPOSIÇÃO VENEZUELANA AVANÇA PARA REVOGAR MANDATO DE MADURO</t>
        </is>
      </c>
      <c r="I2728" t="inlineStr"/>
      <c r="J2728">
        <f>HYPERLINK("http://g1.globo.com/mundo/noticia/2016/03/oposicao-venezuelana-avanca-para-revogar-mandato-de-maduro.html", "URL")</f>
        <v/>
      </c>
      <c r="K2728">
        <f>HYPERLINK("https://raw.githubusercontent.com/marcosmapl/dataset_imigrantes/main/noticias_filtered/g1/venezuelanos/2016/02_mar/html/g1_ea16d490-230f-11ed-b24f-6dbe51e79fca_2827.html", "HTML")</f>
        <v/>
      </c>
      <c r="L2728">
        <f>HYPERLINK("https://raw.githubusercontent.com/marcosmapl/dataset_imigrantes/main/noticias_filtered/g1/venezuelanos/2016/02_mar/txt/g1_ea16d490-230f-11ed-b24f-6dbe51e79fca_2827.txt", "TXT")</f>
        <v/>
      </c>
    </row>
    <row r="2729">
      <c r="A2729" s="1" t="n">
        <v>2727</v>
      </c>
      <c r="B2729" t="n">
        <v>2016</v>
      </c>
      <c r="C2729" s="2" t="n">
        <v>42437.50416666667</v>
      </c>
      <c r="D2729" t="inlineStr">
        <is>
          <t>G1</t>
        </is>
      </c>
      <c r="E2729" t="inlineStr">
        <is>
          <t>VENEZUELANOS</t>
        </is>
      </c>
      <c r="F2729" t="inlineStr"/>
      <c r="G2729" t="inlineStr">
        <is>
          <t>RANCE PRESSE</t>
        </is>
      </c>
      <c r="H2729" t="inlineStr">
        <is>
          <t>OPOSIÇÃO VENEZUELANA QUER FAZER REFERENDO PARA TIRAR MADURO DO PODER</t>
        </is>
      </c>
      <c r="I2729" t="inlineStr"/>
      <c r="J2729">
        <f>HYPERLINK("http://g1.globo.com/mundo/noticia/2016/03/oposicao-venezuelana-anuncia-referendo-para-tirar-maduro-do-poder.html", "URL")</f>
        <v/>
      </c>
      <c r="K2729">
        <f>HYPERLINK("https://raw.githubusercontent.com/marcosmapl/dataset_imigrantes/main/noticias_filtered/g1/venezuelanos/2016/02_mar/html/g1_4073cd06-230c-11ed-b24f-6dbe51e79fca_2613.html", "HTML")</f>
        <v/>
      </c>
      <c r="L2729">
        <f>HYPERLINK("https://raw.githubusercontent.com/marcosmapl/dataset_imigrantes/main/noticias_filtered/g1/venezuelanos/2016/02_mar/txt/g1_4073cd06-230c-11ed-b24f-6dbe51e79fca_2613.txt", "TXT")</f>
        <v/>
      </c>
    </row>
    <row r="2730">
      <c r="A2730" s="1" t="n">
        <v>2728</v>
      </c>
      <c r="B2730" t="n">
        <v>2016</v>
      </c>
      <c r="C2730" s="2" t="n">
        <v>42434.3125</v>
      </c>
      <c r="D2730" t="inlineStr">
        <is>
          <t>G1</t>
        </is>
      </c>
      <c r="E2730" t="inlineStr">
        <is>
          <t>HAITIANOS</t>
        </is>
      </c>
      <c r="F2730" t="inlineStr"/>
      <c r="G2730" t="inlineStr">
        <is>
          <t>1 SC</t>
        </is>
      </c>
      <c r="H2730" t="inlineStr">
        <is>
          <t>EXPOSIÇÃO FOTOGRÁFICA SOBRE CRIANÇAS HAITIANAS ABRE NESTE SÁBADO EM SC</t>
        </is>
      </c>
      <c r="I2730" t="inlineStr"/>
      <c r="J2730">
        <f>HYPERLINK("http://g1.globo.com/sc/santa-catarina/noticia/2016/03/exposicao-fotografica-sobre-criancas-haitianas-abre-neste-sabado-em-sc.html", "URL")</f>
        <v/>
      </c>
      <c r="K2730">
        <f>HYPERLINK("https://raw.githubusercontent.com/marcosmapl/dataset_imigrantes/main/noticias_filtered/g1/haitianos/2016/02_mar/html/g1_f9f1ff00-231b-11ed-b24f-6dbe51e79fca_3420.html", "HTML")</f>
        <v/>
      </c>
      <c r="L2730">
        <f>HYPERLINK("https://raw.githubusercontent.com/marcosmapl/dataset_imigrantes/main/noticias_filtered/g1/haitianos/2016/02_mar/txt/g1_f9f1ff00-231b-11ed-b24f-6dbe51e79fca_3420.txt", "TXT")</f>
        <v/>
      </c>
    </row>
    <row r="2731">
      <c r="A2731" s="1" t="n">
        <v>2729</v>
      </c>
      <c r="B2731" t="n">
        <v>2016</v>
      </c>
      <c r="C2731" s="2" t="n">
        <v>42431.37708333333</v>
      </c>
      <c r="D2731" t="inlineStr">
        <is>
          <t>G1</t>
        </is>
      </c>
      <c r="E2731" t="inlineStr">
        <is>
          <t>VENEZUELANOS</t>
        </is>
      </c>
      <c r="F2731" t="inlineStr"/>
      <c r="G2731" t="inlineStr">
        <is>
          <t>EUTERS</t>
        </is>
      </c>
      <c r="H2731" t="inlineStr">
        <is>
          <t>MÉDICA VENEZUELANA É PRIMEIRO CASO DE ZIKA REGISTRADO EM CUBA</t>
        </is>
      </c>
      <c r="I2731" t="inlineStr"/>
      <c r="J2731">
        <f>HYPERLINK("http://g1.globo.com/bemestar/noticia/2016/03/medica-venezuelana-e-primeiro-caso-de-zika-registrado-em-cuba.html", "URL")</f>
        <v/>
      </c>
      <c r="K2731">
        <f>HYPERLINK("https://raw.githubusercontent.com/marcosmapl/dataset_imigrantes/main/noticias_filtered/g1/venezuelanos/2016/02_mar/html/g1_625fd810-231b-11ed-b24f-6dbe51e79fca_3383.html", "HTML")</f>
        <v/>
      </c>
      <c r="L2731">
        <f>HYPERLINK("https://raw.githubusercontent.com/marcosmapl/dataset_imigrantes/main/noticias_filtered/g1/venezuelanos/2016/02_mar/txt/g1_625fd810-231b-11ed-b24f-6dbe51e79fca_3383.txt", "TXT")</f>
        <v/>
      </c>
    </row>
    <row r="2732">
      <c r="A2732" s="1" t="n">
        <v>2730</v>
      </c>
      <c r="B2732" t="n">
        <v>2016</v>
      </c>
      <c r="C2732" s="2" t="n">
        <v>42429.84722222222</v>
      </c>
      <c r="D2732" t="inlineStr">
        <is>
          <t>G1</t>
        </is>
      </c>
      <c r="E2732" t="inlineStr">
        <is>
          <t>HAITIANOS</t>
        </is>
      </c>
      <c r="F2732" t="inlineStr"/>
      <c r="G2732" t="inlineStr">
        <is>
          <t>FP</t>
        </is>
      </c>
      <c r="H2732" t="inlineStr">
        <is>
          <t>FORTES CHUVAS DEIXAM UM MORTO E MAIS DE 9 MIL CASAS ALAGADAS NO HAITI</t>
        </is>
      </c>
      <c r="I2732" t="inlineStr"/>
      <c r="J2732">
        <f>HYPERLINK("http://g1.globo.com/mundo/noticia/2016/02/fortes-chuvas-deixam-um-morto-e-mais-de-9-mil-casas-alagadas-no-haiti.html", "URL")</f>
        <v/>
      </c>
      <c r="K2732">
        <f>HYPERLINK("https://raw.githubusercontent.com/marcosmapl/dataset_imigrantes/main/noticias_filtered/g1/haitianos/2016/01_fev/html/g1_47f9cbe8-2325-11ed-b24f-6dbe51e79fca_3904.html", "HTML")</f>
        <v/>
      </c>
      <c r="L2732">
        <f>HYPERLINK("https://raw.githubusercontent.com/marcosmapl/dataset_imigrantes/main/noticias_filtered/g1/haitianos/2016/01_fev/txt/g1_47f9cbe8-2325-11ed-b24f-6dbe51e79fca_3904.txt", "TXT")</f>
        <v/>
      </c>
    </row>
    <row r="2733">
      <c r="A2733" s="1" t="n">
        <v>2731</v>
      </c>
      <c r="B2733" t="n">
        <v>2016</v>
      </c>
      <c r="C2733" s="2" t="n">
        <v>42428.40208333333</v>
      </c>
      <c r="D2733" t="inlineStr">
        <is>
          <t>G1</t>
        </is>
      </c>
      <c r="E2733" t="inlineStr">
        <is>
          <t>HAITIANOS</t>
        </is>
      </c>
      <c r="F2733" t="inlineStr"/>
      <c r="G2733" t="inlineStr">
        <is>
          <t>1 MT</t>
        </is>
      </c>
      <c r="H2733" t="inlineStr">
        <is>
          <t>HAITIANO QUE FICOU PARAPLÉGICO DEVE IR PARA RESIDÊNCIA INCLUSIVA EM CUIABÁ</t>
        </is>
      </c>
      <c r="I2733" t="inlineStr"/>
      <c r="J2733">
        <f>HYPERLINK("http://g1.globo.com/mato-grosso/noticia/2016/02/haitiano-que-ficou-paraplegico-deve-ir-para-residencia-inclusiva-em-cuiaba.html", "URL")</f>
        <v/>
      </c>
      <c r="K2733">
        <f>HYPERLINK("https://raw.githubusercontent.com/marcosmapl/dataset_imigrantes/main/noticias_filtered/g1/haitianos/2016/01_fev/html/g1_f434d15e-2312-11ed-b24f-6dbe51e79fca_2984.html", "HTML")</f>
        <v/>
      </c>
      <c r="L2733">
        <f>HYPERLINK("https://raw.githubusercontent.com/marcosmapl/dataset_imigrantes/main/noticias_filtered/g1/haitianos/2016/01_fev/txt/g1_f434d15e-2312-11ed-b24f-6dbe51e79fca_2984.txt", "TXT")</f>
        <v/>
      </c>
    </row>
    <row r="2734">
      <c r="A2734" s="1" t="n">
        <v>2732</v>
      </c>
      <c r="B2734" t="n">
        <v>2016</v>
      </c>
      <c r="C2734" s="2" t="n">
        <v>42416.87916666667</v>
      </c>
      <c r="D2734" t="inlineStr">
        <is>
          <t>G1</t>
        </is>
      </c>
      <c r="E2734" t="inlineStr">
        <is>
          <t>VENEZUELANOS</t>
        </is>
      </c>
      <c r="F2734" t="inlineStr"/>
      <c r="G2734" t="inlineStr">
        <is>
          <t>FP</t>
        </is>
      </c>
      <c r="H2734" t="inlineStr">
        <is>
          <t>OPOSIÇÃO VENEZUELANA INICIA DEBATE SOBRE ANISTIA REJEITADA PELO GOVERNO</t>
        </is>
      </c>
      <c r="I2734" t="inlineStr"/>
      <c r="J2734">
        <f>HYPERLINK("http://g1.globo.com/mundo/noticia/2016/02/oposicao-venezuelana-inicia-debate-sobre-anistia-rejeitada-pelo-governo.html", "URL")</f>
        <v/>
      </c>
      <c r="K2734">
        <f>HYPERLINK("https://raw.githubusercontent.com/marcosmapl/dataset_imigrantes/main/noticias_filtered/g1/venezuelanos/2016/01_fev/html/g1_56c9d920-2324-11ed-b24f-6dbe51e79fca_3865.html", "HTML")</f>
        <v/>
      </c>
      <c r="L2734">
        <f>HYPERLINK("https://raw.githubusercontent.com/marcosmapl/dataset_imigrantes/main/noticias_filtered/g1/venezuelanos/2016/01_fev/txt/g1_56c9d920-2324-11ed-b24f-6dbe51e79fca_3865.txt", "TXT")</f>
        <v/>
      </c>
    </row>
    <row r="2735">
      <c r="A2735" s="1" t="n">
        <v>2733</v>
      </c>
      <c r="B2735" t="n">
        <v>2016</v>
      </c>
      <c r="C2735" s="2" t="n">
        <v>42416.30208333334</v>
      </c>
      <c r="D2735" t="inlineStr">
        <is>
          <t>G1</t>
        </is>
      </c>
      <c r="E2735" t="inlineStr">
        <is>
          <t>HAITIANOS</t>
        </is>
      </c>
      <c r="F2735" t="inlineStr"/>
      <c r="G2735" t="inlineStr">
        <is>
          <t>1 ITAPETININGA E REGIÃO</t>
        </is>
      </c>
      <c r="H2735" t="inlineStr">
        <is>
          <t>CERQUEIRA CÉSAR FAZ 'FORÇA-TAREFA' PARA AJUDAR 120 HAITIANOS DESEMPREGADOS</t>
        </is>
      </c>
      <c r="I2735" t="inlineStr"/>
      <c r="J2735">
        <f>HYPERLINK("http://g1.globo.com/sao-paulo/itapetininga-regiao/noticia/2016/02/cerqueira-cesar-faz-forca-tarefa-para-ajudar-120-haitianos-desempregados.html", "URL")</f>
        <v/>
      </c>
      <c r="K2735">
        <f>HYPERLINK("https://raw.githubusercontent.com/marcosmapl/dataset_imigrantes/main/noticias_filtered/g1/haitianos/2016/01_fev/html/g1_47c26434-22ec-11ed-b24f-6dbe51e79fca_1652.html", "HTML")</f>
        <v/>
      </c>
      <c r="L2735">
        <f>HYPERLINK("https://raw.githubusercontent.com/marcosmapl/dataset_imigrantes/main/noticias_filtered/g1/haitianos/2016/01_fev/txt/g1_47c26434-22ec-11ed-b24f-6dbe51e79fca_1652.txt", "TXT")</f>
        <v/>
      </c>
    </row>
    <row r="2736">
      <c r="A2736" s="1" t="n">
        <v>2734</v>
      </c>
      <c r="B2736" t="n">
        <v>2016</v>
      </c>
      <c r="C2736" s="2" t="n">
        <v>42416.25</v>
      </c>
      <c r="D2736" t="inlineStr">
        <is>
          <t>G1</t>
        </is>
      </c>
      <c r="E2736" t="inlineStr">
        <is>
          <t>HAITIANOS</t>
        </is>
      </c>
      <c r="F2736" t="inlineStr"/>
      <c r="G2736" t="inlineStr">
        <is>
          <t>1 SC</t>
        </is>
      </c>
      <c r="H2736" t="inlineStr">
        <is>
          <t>EM BUSCA DE INTEGRAÇÃO, HAITIANOS FORMAM TIME DE FUTEBOL EM SC</t>
        </is>
      </c>
      <c r="I2736" t="inlineStr"/>
      <c r="J2736">
        <f>HYPERLINK("http://g1.globo.com/sc/santa-catarina/noticia/2016/02/em-busca-de-integracao-haitianos-formam-time-de-futebol-em-sc.html", "URL")</f>
        <v/>
      </c>
      <c r="K2736">
        <f>HYPERLINK("https://raw.githubusercontent.com/marcosmapl/dataset_imigrantes/main/noticias_filtered/g1/haitianos/2016/01_fev/html/g1_35cd8954-22f4-11ed-b24f-6dbe51e79fca_1878.html", "HTML")</f>
        <v/>
      </c>
      <c r="L2736">
        <f>HYPERLINK("https://raw.githubusercontent.com/marcosmapl/dataset_imigrantes/main/noticias_filtered/g1/haitianos/2016/01_fev/txt/g1_35cd8954-22f4-11ed-b24f-6dbe51e79fca_1878.txt", "TXT")</f>
        <v/>
      </c>
    </row>
    <row r="2737">
      <c r="A2737" s="1" t="n">
        <v>2735</v>
      </c>
      <c r="B2737" t="n">
        <v>2016</v>
      </c>
      <c r="C2737" s="2" t="n">
        <v>42415.88194444445</v>
      </c>
      <c r="D2737" t="inlineStr">
        <is>
          <t>G1</t>
        </is>
      </c>
      <c r="E2737" t="inlineStr">
        <is>
          <t>HAITIANOS</t>
        </is>
      </c>
      <c r="F2737" t="inlineStr"/>
      <c r="G2737" t="inlineStr">
        <is>
          <t>FP</t>
        </is>
      </c>
      <c r="H2737" t="inlineStr">
        <is>
          <t>GRUPO DE APOIO AO HAITI SAÚDA ELEIÇÃO DE PRESIDENTE INTERINO</t>
        </is>
      </c>
      <c r="I2737" t="inlineStr"/>
      <c r="J2737">
        <f>HYPERLINK("http://g1.globo.com/mundo/noticia/2016/02/grupo-de-apoio-ao-haiti-sauda-eleicao-de-presidente-interino.html", "URL")</f>
        <v/>
      </c>
      <c r="K2737">
        <f>HYPERLINK("https://raw.githubusercontent.com/marcosmapl/dataset_imigrantes/main/noticias_filtered/g1/haitianos/2016/01_fev/html/g1_9358b0d2-230b-11ed-b24f-6dbe51e79fca_2572.html", "HTML")</f>
        <v/>
      </c>
      <c r="L2737">
        <f>HYPERLINK("https://raw.githubusercontent.com/marcosmapl/dataset_imigrantes/main/noticias_filtered/g1/haitianos/2016/01_fev/txt/g1_9358b0d2-230b-11ed-b24f-6dbe51e79fca_2572.txt", "TXT")</f>
        <v/>
      </c>
    </row>
    <row r="2738">
      <c r="A2738" s="1" t="n">
        <v>2736</v>
      </c>
      <c r="B2738" t="n">
        <v>2016</v>
      </c>
      <c r="C2738" s="2" t="n">
        <v>42415.85208333333</v>
      </c>
      <c r="D2738" t="inlineStr">
        <is>
          <t>G1</t>
        </is>
      </c>
      <c r="E2738" t="inlineStr">
        <is>
          <t>VENEZUELANOS</t>
        </is>
      </c>
      <c r="F2738" t="inlineStr"/>
      <c r="G2738" t="inlineStr">
        <is>
          <t>FE</t>
        </is>
      </c>
      <c r="H2738" t="inlineStr">
        <is>
          <t>OPOSIÇÃO VENEZUELANA DECLARA CAMPANHA PARA SAÍDA DE MADURO</t>
        </is>
      </c>
      <c r="I2738" t="inlineStr"/>
      <c r="J2738">
        <f>HYPERLINK("http://g1.globo.com/mundo/noticia/2016/02/oposicao-venezuelana-declara-campanha-para-saida-de-maduro.html", "URL")</f>
        <v/>
      </c>
      <c r="K2738">
        <f>HYPERLINK("https://raw.githubusercontent.com/marcosmapl/dataset_imigrantes/main/noticias_filtered/g1/venezuelanos/2016/01_fev/html/g1_a4c03500-2326-11ed-b24f-6dbe51e79fca_3989.html", "HTML")</f>
        <v/>
      </c>
      <c r="L2738">
        <f>HYPERLINK("https://raw.githubusercontent.com/marcosmapl/dataset_imigrantes/main/noticias_filtered/g1/venezuelanos/2016/01_fev/txt/g1_a4c03500-2326-11ed-b24f-6dbe51e79fca_3989.txt", "TXT")</f>
        <v/>
      </c>
    </row>
    <row r="2739">
      <c r="A2739" s="1" t="n">
        <v>2737</v>
      </c>
      <c r="B2739" t="n">
        <v>2016</v>
      </c>
      <c r="C2739" s="2" t="n">
        <v>42414.69861111111</v>
      </c>
      <c r="D2739" t="inlineStr">
        <is>
          <t>G1</t>
        </is>
      </c>
      <c r="E2739" t="inlineStr">
        <is>
          <t>HAITIANOS</t>
        </is>
      </c>
      <c r="F2739" t="inlineStr"/>
      <c r="G2739" t="inlineStr">
        <is>
          <t>IA MANTOVANIDO G1 SÃO PAULO</t>
        </is>
      </c>
      <c r="H2739" t="inlineStr">
        <is>
          <t>BLOCO 'APRESENTA' CARNAVAL DE RUA PARA REFUGIADOS E PROMOVE TROCA CULTURAL</t>
        </is>
      </c>
      <c r="I2739" t="inlineStr"/>
      <c r="J2739">
        <f>HYPERLINK("http://g1.globo.com/sao-paulo/carnaval/2016/noticia/2016/02/bloco-apresenta-carnaval-de-rua-para-refugiados-e-promove-troca-cultural.html", "URL")</f>
        <v/>
      </c>
      <c r="K2739">
        <f>HYPERLINK("https://raw.githubusercontent.com/marcosmapl/dataset_imigrantes/main/noticias_filtered/g1/haitianos/2016/01_fev/html/g1_d58416ac-2326-11ed-b24f-6dbe51e79fca_4000.html", "HTML")</f>
        <v/>
      </c>
      <c r="L2739">
        <f>HYPERLINK("https://raw.githubusercontent.com/marcosmapl/dataset_imigrantes/main/noticias_filtered/g1/haitianos/2016/01_fev/txt/g1_d58416ac-2326-11ed-b24f-6dbe51e79fca_4000.txt", "TXT")</f>
        <v/>
      </c>
    </row>
    <row r="2740">
      <c r="A2740" s="1" t="n">
        <v>2738</v>
      </c>
      <c r="B2740" t="n">
        <v>2016</v>
      </c>
      <c r="C2740" s="2" t="n">
        <v>42414.28125</v>
      </c>
      <c r="D2740" t="inlineStr">
        <is>
          <t>G1</t>
        </is>
      </c>
      <c r="E2740" t="inlineStr">
        <is>
          <t>HAITIANOS</t>
        </is>
      </c>
      <c r="F2740" t="inlineStr"/>
      <c r="G2740" t="inlineStr">
        <is>
          <t>1, EM SÃO PAULO</t>
        </is>
      </c>
      <c r="H2740" t="inlineStr">
        <is>
          <t>PRESIDENTE DO SENADO DO HAITI É ELEITO PARA ASSUMIR GOVERNO INTERINO</t>
        </is>
      </c>
      <c r="I2740" t="inlineStr"/>
      <c r="J2740">
        <f>HYPERLINK("http://g1.globo.com/mundo/noticia/2016/02/presidente-do-senado-do-haiti-e-eleito-presidente-interino.html", "URL")</f>
        <v/>
      </c>
      <c r="K2740">
        <f>HYPERLINK("https://raw.githubusercontent.com/marcosmapl/dataset_imigrantes/main/noticias_filtered/g1/haitianos/2016/01_fev/html/g1_46f71250-2311-11ed-b24f-6dbe51e79fca_2908.html", "HTML")</f>
        <v/>
      </c>
      <c r="L2740">
        <f>HYPERLINK("https://raw.githubusercontent.com/marcosmapl/dataset_imigrantes/main/noticias_filtered/g1/haitianos/2016/01_fev/txt/g1_46f71250-2311-11ed-b24f-6dbe51e79fca_2908.txt", "TXT")</f>
        <v/>
      </c>
    </row>
    <row r="2741">
      <c r="A2741" s="1" t="n">
        <v>2739</v>
      </c>
      <c r="B2741" t="n">
        <v>2016</v>
      </c>
      <c r="C2741" s="2" t="n">
        <v>42410.45</v>
      </c>
      <c r="D2741" t="inlineStr">
        <is>
          <t>G1</t>
        </is>
      </c>
      <c r="E2741" t="inlineStr">
        <is>
          <t>HAITIANOS</t>
        </is>
      </c>
      <c r="F2741" t="inlineStr"/>
      <c r="G2741" t="inlineStr">
        <is>
          <t xml:space="preserve"> DIÓZDO G1 MT</t>
        </is>
      </c>
      <c r="H2741" t="inlineStr">
        <is>
          <t>HAITIANOS VÃO PARTICIPAR DA ENCENAÇÃO DA PAIXÃO DE CRISTO EM CUIABÁ</t>
        </is>
      </c>
      <c r="I2741" t="inlineStr"/>
      <c r="J2741">
        <f>HYPERLINK("http://g1.globo.com/mato-grosso/noticia/2016/02/haitianos-vao-participar-da-encenacao-da-paixao-de-cristo-em-cuiaba.html", "URL")</f>
        <v/>
      </c>
      <c r="K2741">
        <f>HYPERLINK("https://raw.githubusercontent.com/marcosmapl/dataset_imigrantes/main/noticias_filtered/g1/haitianos/2016/01_fev/html/g1_1ce84c4a-22ee-11ed-b24f-6dbe51e79fca_1699.html", "HTML")</f>
        <v/>
      </c>
      <c r="L2741">
        <f>HYPERLINK("https://raw.githubusercontent.com/marcosmapl/dataset_imigrantes/main/noticias_filtered/g1/haitianos/2016/01_fev/txt/g1_1ce84c4a-22ee-11ed-b24f-6dbe51e79fca_1699.txt", "TXT")</f>
        <v/>
      </c>
    </row>
    <row r="2742">
      <c r="A2742" s="1" t="n">
        <v>2740</v>
      </c>
      <c r="B2742" t="n">
        <v>2016</v>
      </c>
      <c r="C2742" s="2" t="n">
        <v>42404.44722222222</v>
      </c>
      <c r="D2742" t="inlineStr">
        <is>
          <t>G1</t>
        </is>
      </c>
      <c r="E2742" t="inlineStr">
        <is>
          <t>HAITIANOS</t>
        </is>
      </c>
      <c r="F2742" t="inlineStr"/>
      <c r="G2742" t="inlineStr">
        <is>
          <t>AINE DOS ANJOSDO G1 MT</t>
        </is>
      </c>
      <c r="H2742" t="inlineStr">
        <is>
          <t>PARA ELIMINAR BARREIRAS, HAITIANOS SE ESFORÇAM PARA APRENDER O PORTUGUÊS</t>
        </is>
      </c>
      <c r="I2742" t="inlineStr"/>
      <c r="J2742">
        <f>HYPERLINK("http://g1.globo.com/mato-grosso/noticia/2016/02/para-eliminar-barreiras-haitianos-se-esforcam-para-aprender-o-portugues.html", "URL")</f>
        <v/>
      </c>
      <c r="K2742">
        <f>HYPERLINK("https://raw.githubusercontent.com/marcosmapl/dataset_imigrantes/main/noticias_filtered/g1/haitianos/2016/01_fev/html/g1_978b47b2-22f9-11ed-b24f-6dbe51e79fca_2172.html", "HTML")</f>
        <v/>
      </c>
      <c r="L2742">
        <f>HYPERLINK("https://raw.githubusercontent.com/marcosmapl/dataset_imigrantes/main/noticias_filtered/g1/haitianos/2016/01_fev/txt/g1_978b47b2-22f9-11ed-b24f-6dbe51e79fca_2172.txt", "TXT")</f>
        <v/>
      </c>
    </row>
    <row r="2743">
      <c r="A2743" s="1" t="n">
        <v>2741</v>
      </c>
      <c r="B2743" t="n">
        <v>2016</v>
      </c>
      <c r="C2743" s="2" t="n">
        <v>42403.42986111111</v>
      </c>
      <c r="D2743" t="inlineStr">
        <is>
          <t>G1</t>
        </is>
      </c>
      <c r="E2743" t="inlineStr">
        <is>
          <t>HAITIANOS</t>
        </is>
      </c>
      <c r="F2743" t="inlineStr"/>
      <c r="G2743" t="inlineStr">
        <is>
          <t>SE SOARESDO G1 MT</t>
        </is>
      </c>
      <c r="H2743" t="inlineStr">
        <is>
          <t>DA CONSTRUÇÃO CIVIL PARA A CULINÁRIA, HAITIANOS ENCARAM OPORTUNIDADES</t>
        </is>
      </c>
      <c r="I2743" t="inlineStr"/>
      <c r="J2743">
        <f>HYPERLINK("http://g1.globo.com/mato-grosso/noticia/2016/02/da-construcao-civil-para-culinaria-haitianos-encaram-oportunidades.html", "URL")</f>
        <v/>
      </c>
      <c r="K2743">
        <f>HYPERLINK("https://raw.githubusercontent.com/marcosmapl/dataset_imigrantes/main/noticias_filtered/g1/haitianos/2016/01_fev/html/g1_d2f4a5a4-22f0-11ed-b24f-6dbe51e79fca_1721.html", "HTML")</f>
        <v/>
      </c>
      <c r="L2743">
        <f>HYPERLINK("https://raw.githubusercontent.com/marcosmapl/dataset_imigrantes/main/noticias_filtered/g1/haitianos/2016/01_fev/txt/g1_d2f4a5a4-22f0-11ed-b24f-6dbe51e79fca_1721.txt", "TXT")</f>
        <v/>
      </c>
    </row>
    <row r="2744">
      <c r="A2744" s="1" t="n">
        <v>2742</v>
      </c>
      <c r="B2744" t="n">
        <v>2016</v>
      </c>
      <c r="C2744" s="2" t="n">
        <v>42403.01875</v>
      </c>
      <c r="D2744" t="inlineStr">
        <is>
          <t>G1</t>
        </is>
      </c>
      <c r="E2744" t="inlineStr">
        <is>
          <t>HAITIANOS</t>
        </is>
      </c>
      <c r="F2744" t="inlineStr"/>
      <c r="G2744" t="inlineStr">
        <is>
          <t>FE</t>
        </is>
      </c>
      <c r="H2744" t="inlineStr">
        <is>
          <t>MARTELLY DEIXARÁ A PRESIDÊNCIA DO HAITI NO DOMINGO, DIZ PRESIDENTE DO SENADO</t>
        </is>
      </c>
      <c r="I2744" t="inlineStr"/>
      <c r="J2744">
        <f>HYPERLINK("http://g1.globo.com/mundo/noticia/2016/02/martelly-deixara-presidencia-do-haiti-no-domingo.html", "URL")</f>
        <v/>
      </c>
      <c r="K2744">
        <f>HYPERLINK("https://raw.githubusercontent.com/marcosmapl/dataset_imigrantes/main/noticias_filtered/g1/haitianos/2016/01_fev/html/g1_ab50aa76-2317-11ed-b24f-6dbe51e79fca_3223.html", "HTML")</f>
        <v/>
      </c>
      <c r="L2744">
        <f>HYPERLINK("https://raw.githubusercontent.com/marcosmapl/dataset_imigrantes/main/noticias_filtered/g1/haitianos/2016/01_fev/txt/g1_ab50aa76-2317-11ed-b24f-6dbe51e79fca_3223.txt", "TXT")</f>
        <v/>
      </c>
    </row>
    <row r="2745">
      <c r="A2745" s="1" t="n">
        <v>2743</v>
      </c>
      <c r="B2745" t="n">
        <v>2016</v>
      </c>
      <c r="C2745" s="2" t="n">
        <v>42402.44097222222</v>
      </c>
      <c r="D2745" t="inlineStr">
        <is>
          <t>G1</t>
        </is>
      </c>
      <c r="E2745" t="inlineStr">
        <is>
          <t>HAITIANOS</t>
        </is>
      </c>
      <c r="F2745" t="inlineStr"/>
      <c r="G2745" t="inlineStr">
        <is>
          <t>1 MT</t>
        </is>
      </c>
      <c r="H2745" t="inlineStr">
        <is>
          <t>DINHEIRO DE CAMPANHA CUSTEIA VIAGEM DE MULHER DE HAITIANO PARA O BRASIL</t>
        </is>
      </c>
      <c r="I2745" t="inlineStr"/>
      <c r="J2745">
        <f>HYPERLINK("http://g1.globo.com/mato-grosso/noticia/2016/02/dinheiro-de-campanha-custeia-viagem-de-mulher-de-haitiano-para-o-brasil.html", "URL")</f>
        <v/>
      </c>
      <c r="K2745">
        <f>HYPERLINK("https://raw.githubusercontent.com/marcosmapl/dataset_imigrantes/main/noticias_filtered/g1/haitianos/2016/01_fev/html/g1_bb116c30-231b-11ed-b24f-6dbe51e79fca_3403.html", "HTML")</f>
        <v/>
      </c>
      <c r="L2745">
        <f>HYPERLINK("https://raw.githubusercontent.com/marcosmapl/dataset_imigrantes/main/noticias_filtered/g1/haitianos/2016/01_fev/txt/g1_bb116c30-231b-11ed-b24f-6dbe51e79fca_3403.txt", "TXT")</f>
        <v/>
      </c>
    </row>
    <row r="2746">
      <c r="A2746" s="1" t="n">
        <v>2744</v>
      </c>
      <c r="B2746" t="n">
        <v>2016</v>
      </c>
      <c r="C2746" s="2" t="n">
        <v>42402.40625</v>
      </c>
      <c r="D2746" t="inlineStr">
        <is>
          <t>G1</t>
        </is>
      </c>
      <c r="E2746" t="inlineStr">
        <is>
          <t>HAITIANOS</t>
        </is>
      </c>
      <c r="F2746" t="inlineStr"/>
      <c r="G2746" t="inlineStr">
        <is>
          <t xml:space="preserve"> DIÓZDO G1 MT</t>
        </is>
      </c>
      <c r="H2746" t="inlineStr">
        <is>
          <t>HAITIANOS TÊM IGREJAS, BARES E LAN HOUSE EM BAIRROS DE CUIABÁ</t>
        </is>
      </c>
      <c r="I2746" t="inlineStr"/>
      <c r="J2746">
        <f>HYPERLINK("http://g1.globo.com/mato-grosso/noticia/2016/02/haitianos-tem-igrejas-bares-e-lan-house-em-bairros-de-cuiaba.html", "URL")</f>
        <v/>
      </c>
      <c r="K2746">
        <f>HYPERLINK("https://raw.githubusercontent.com/marcosmapl/dataset_imigrantes/main/noticias_filtered/g1/haitianos/2016/01_fev/html/g1_7e8fa012-22f1-11ed-b24f-6dbe51e79fca_1752.html", "HTML")</f>
        <v/>
      </c>
      <c r="L2746">
        <f>HYPERLINK("https://raw.githubusercontent.com/marcosmapl/dataset_imigrantes/main/noticias_filtered/g1/haitianos/2016/01_fev/txt/g1_7e8fa012-22f1-11ed-b24f-6dbe51e79fca_1752.txt", "TXT")</f>
        <v/>
      </c>
    </row>
    <row r="2747">
      <c r="A2747" s="1" t="n">
        <v>2745</v>
      </c>
      <c r="B2747" t="n">
        <v>2016</v>
      </c>
      <c r="C2747" s="2" t="n">
        <v>42401.35486111111</v>
      </c>
      <c r="D2747" t="inlineStr">
        <is>
          <t>G1</t>
        </is>
      </c>
      <c r="E2747" t="inlineStr">
        <is>
          <t>HAITIANOS</t>
        </is>
      </c>
      <c r="F2747" t="inlineStr"/>
      <c r="G2747" t="inlineStr">
        <is>
          <t>GÊNCIA EFE</t>
        </is>
      </c>
      <c r="H2747" t="inlineStr">
        <is>
          <t>PRESIDENTE DO HAITI LANÇA MÚSICA DE CARNAVAL CRITICANDO JORNALISTA</t>
        </is>
      </c>
      <c r="I2747" t="inlineStr"/>
      <c r="J2747">
        <f>HYPERLINK("http://g1.globo.com/mundo/noticia/2016/02/presidente-do-haiti-lanca-musica-de-carnaval-criticando-jornalista-20160131212004203244.html", "URL")</f>
        <v/>
      </c>
      <c r="K2747">
        <f>HYPERLINK("https://raw.githubusercontent.com/marcosmapl/dataset_imigrantes/main/noticias_filtered/g1/haitianos/2016/01_fev/html/g1_8f76a46e-231b-11ed-b24f-6dbe51e79fca_3392.html", "HTML")</f>
        <v/>
      </c>
      <c r="L2747">
        <f>HYPERLINK("https://raw.githubusercontent.com/marcosmapl/dataset_imigrantes/main/noticias_filtered/g1/haitianos/2016/01_fev/txt/g1_8f76a46e-231b-11ed-b24f-6dbe51e79fca_3392.txt", "TXT")</f>
        <v/>
      </c>
    </row>
    <row r="2748">
      <c r="A2748" s="1" t="n">
        <v>2746</v>
      </c>
      <c r="B2748" t="n">
        <v>2016</v>
      </c>
      <c r="C2748" s="2" t="n">
        <v>42397.80833333333</v>
      </c>
      <c r="D2748" t="inlineStr">
        <is>
          <t>PORTAL AMAZONIA</t>
        </is>
      </c>
      <c r="E2748" t="inlineStr">
        <is>
          <t>HAITIANOS</t>
        </is>
      </c>
      <c r="F2748" t="inlineStr">
        <is>
          <t>CIDADES</t>
        </is>
      </c>
      <c r="G2748" t="inlineStr">
        <is>
          <t>REDAÇÃO</t>
        </is>
      </c>
      <c r="H2748" t="inlineStr">
        <is>
          <t>MAIS DE 100 TRABALHADORES EM REGIME DE ESCRAVIDÃO SÃO RESGATADOS NO MARANHÃO</t>
        </is>
      </c>
      <c r="I2748" t="inlineStr">
        <is>
          <t>BRASÍLIA - MAIS DE MIL TRABALHADORES FORAM FLAGRADOS EM CONDIÇÕES ANÁLOGAS À ESCRAVIDÃO NO BRASIL EM 2015. O REGISTROU ACONTECEU POR MEIO DE 140 OPERAÇÕES REALIZADAS PELO GRUPO ESPECIAL DE FISCALIZAÇÃO MÓVEL E POR AUDITORES FISCAIS DO TRABA</t>
        </is>
      </c>
      <c r="J2748">
        <f>HYPERLINK("https://portalamazonia.com/noticias/cidades/mais-de-100-trabalhadores-em-regime-de-escravidao-sao-resgatados-no-maranhao", "URL")</f>
        <v/>
      </c>
      <c r="K2748">
        <f>HYPERLINK("https://raw.githubusercontent.com/marcosmapl/dataset_imigrantes/main/noticias_filtered/portal_amazonia/haitianos/2016/00_jan/html/18727.18727_1510.html", "HTML")</f>
        <v/>
      </c>
      <c r="L2748">
        <f>HYPERLINK("https://raw.githubusercontent.com/marcosmapl/dataset_imigrantes/main/noticias_filtered/portal_amazonia/haitianos/2016/00_jan/txt/18727.18727_1510.txt", "TXT")</f>
        <v/>
      </c>
    </row>
    <row r="2749">
      <c r="A2749" s="1" t="n">
        <v>2747</v>
      </c>
      <c r="B2749" t="n">
        <v>2016</v>
      </c>
      <c r="C2749" s="2" t="n">
        <v>42396.37291666667</v>
      </c>
      <c r="D2749" t="inlineStr">
        <is>
          <t>G1</t>
        </is>
      </c>
      <c r="E2749" t="inlineStr">
        <is>
          <t>HAITIANOS</t>
        </is>
      </c>
      <c r="F2749" t="inlineStr"/>
      <c r="G2749" t="inlineStr">
        <is>
          <t>1 RS</t>
        </is>
      </c>
      <c r="H2749" t="inlineStr">
        <is>
          <t>ESTUDANTES HAITIANOS GANHAM REFORÇO ESCOLAR DE PORTUGUÊS NAS FÉRIAS NO RS</t>
        </is>
      </c>
      <c r="I2749" t="inlineStr"/>
      <c r="J2749">
        <f>HYPERLINK("http://g1.globo.com/rs/rio-grande-do-sul/noticia/2016/01/estudantes-haitianos-ganham-reforco-escolar-de-portugues-nas-ferias-no-rs.html", "URL")</f>
        <v/>
      </c>
      <c r="K2749">
        <f>HYPERLINK("https://raw.githubusercontent.com/marcosmapl/dataset_imigrantes/main/noticias_filtered/g1/haitianos/2016/00_jan/html/g1_148b1806-22f4-11ed-b24f-6dbe51e79fca_1872.html", "HTML")</f>
        <v/>
      </c>
      <c r="L2749">
        <f>HYPERLINK("https://raw.githubusercontent.com/marcosmapl/dataset_imigrantes/main/noticias_filtered/g1/haitianos/2016/00_jan/txt/g1_148b1806-22f4-11ed-b24f-6dbe51e79fca_1872.txt", "TXT")</f>
        <v/>
      </c>
    </row>
    <row r="2750">
      <c r="A2750" s="1" t="n">
        <v>2748</v>
      </c>
      <c r="B2750" t="n">
        <v>2016</v>
      </c>
      <c r="C2750" s="2" t="n">
        <v>42396.05972222222</v>
      </c>
      <c r="D2750" t="inlineStr">
        <is>
          <t>G1</t>
        </is>
      </c>
      <c r="E2750" t="inlineStr">
        <is>
          <t>VENEZUELANOS</t>
        </is>
      </c>
      <c r="F2750" t="inlineStr"/>
      <c r="G2750" t="inlineStr">
        <is>
          <t>FE</t>
        </is>
      </c>
      <c r="H2750" t="inlineStr">
        <is>
          <t>ECONOMIA VENEZUELANA ESTÁ 'IMPLODINDO', DIZ DIRETOR DO FMI</t>
        </is>
      </c>
      <c r="I2750" t="inlineStr"/>
      <c r="J2750">
        <f>HYPERLINK("http://g1.globo.com/economia/noticia/2016/01/economia-venezuelana-esta-implodindo-diz-diretor-do-fmi.html", "URL")</f>
        <v/>
      </c>
      <c r="K2750">
        <f>HYPERLINK("https://raw.githubusercontent.com/marcosmapl/dataset_imigrantes/main/noticias_filtered/g1/venezuelanos/2016/00_jan/html/g1_e12ba9ee-230c-11ed-b24f-6dbe51e79fca_2654.html", "HTML")</f>
        <v/>
      </c>
      <c r="L2750">
        <f>HYPERLINK("https://raw.githubusercontent.com/marcosmapl/dataset_imigrantes/main/noticias_filtered/g1/venezuelanos/2016/00_jan/txt/g1_e12ba9ee-230c-11ed-b24f-6dbe51e79fca_2654.txt", "TXT")</f>
        <v/>
      </c>
    </row>
    <row r="2751">
      <c r="A2751" s="1" t="n">
        <v>2749</v>
      </c>
      <c r="B2751" t="n">
        <v>2016</v>
      </c>
      <c r="C2751" s="2" t="n">
        <v>42391.88958333333</v>
      </c>
      <c r="D2751" t="inlineStr">
        <is>
          <t>G1</t>
        </is>
      </c>
      <c r="E2751" t="inlineStr">
        <is>
          <t>VENEZUELANOS</t>
        </is>
      </c>
      <c r="F2751" t="inlineStr"/>
      <c r="G2751" t="inlineStr">
        <is>
          <t>1, EM SÃO PAULO</t>
        </is>
      </c>
      <c r="H2751" t="inlineStr">
        <is>
          <t>PARLAMENTO VENEZUELANO REJEITA DECRETO DE EMERGÊNCIA ECONÔMICA</t>
        </is>
      </c>
      <c r="I2751" t="inlineStr"/>
      <c r="J2751">
        <f>HYPERLINK("http://g1.globo.com/mundo/noticia/2016/01/parlamento-venezuelano-rejeita-decreto-de-emergencia-economica-20160122202004852630.html", "URL")</f>
        <v/>
      </c>
      <c r="K2751">
        <f>HYPERLINK("https://raw.githubusercontent.com/marcosmapl/dataset_imigrantes/main/noticias_filtered/g1/venezuelanos/2016/00_jan/html/g1_b529855a-2307-11ed-b24f-6dbe51e79fca_2336.html", "HTML")</f>
        <v/>
      </c>
      <c r="L2751">
        <f>HYPERLINK("https://raw.githubusercontent.com/marcosmapl/dataset_imigrantes/main/noticias_filtered/g1/venezuelanos/2016/00_jan/txt/g1_b529855a-2307-11ed-b24f-6dbe51e79fca_2336.txt", "TXT")</f>
        <v/>
      </c>
    </row>
    <row r="2752">
      <c r="A2752" s="1" t="n">
        <v>2750</v>
      </c>
      <c r="B2752" t="n">
        <v>2016</v>
      </c>
      <c r="C2752" s="2" t="n">
        <v>42390.12847222222</v>
      </c>
      <c r="D2752" t="inlineStr">
        <is>
          <t>G1</t>
        </is>
      </c>
      <c r="E2752" t="inlineStr">
        <is>
          <t>HAITIANOS</t>
        </is>
      </c>
      <c r="F2752" t="inlineStr"/>
      <c r="G2752" t="inlineStr">
        <is>
          <t>FE</t>
        </is>
      </c>
      <c r="H2752" t="inlineStr">
        <is>
          <t>GOVERNO ESTUDA ADIAR ELEIÇÕES SE OPOSIÇÃO HAITIANA ACEITAR 'CONDIÇÕES'</t>
        </is>
      </c>
      <c r="I2752" t="inlineStr"/>
      <c r="J2752">
        <f>HYPERLINK("http://g1.globo.com/mundo/noticia/2016/01/governo-estuda-adiar-eleicoes-se-oposicao-haitiana-aceitar-condicoes.html", "URL")</f>
        <v/>
      </c>
      <c r="K2752">
        <f>HYPERLINK("https://raw.githubusercontent.com/marcosmapl/dataset_imigrantes/main/noticias_filtered/g1/haitianos/2016/00_jan/html/g1_d43a4d18-2315-11ed-b24f-6dbe51e79fca_3108.html", "HTML")</f>
        <v/>
      </c>
      <c r="L2752">
        <f>HYPERLINK("https://raw.githubusercontent.com/marcosmapl/dataset_imigrantes/main/noticias_filtered/g1/haitianos/2016/00_jan/txt/g1_d43a4d18-2315-11ed-b24f-6dbe51e79fca_3108.txt", "TXT")</f>
        <v/>
      </c>
    </row>
    <row r="2753">
      <c r="A2753" s="1" t="n">
        <v>2751</v>
      </c>
      <c r="B2753" t="n">
        <v>2016</v>
      </c>
      <c r="C2753" s="2" t="n">
        <v>42389.06111111111</v>
      </c>
      <c r="D2753" t="inlineStr">
        <is>
          <t>G1</t>
        </is>
      </c>
      <c r="E2753" t="inlineStr">
        <is>
          <t>HAITIANOS</t>
        </is>
      </c>
      <c r="F2753" t="inlineStr"/>
      <c r="G2753" t="inlineStr">
        <is>
          <t>RANCE PRESSE</t>
        </is>
      </c>
      <c r="H2753" t="inlineStr">
        <is>
          <t>HAITI REGISTRA SÉRIE DE PROTESTOS A CINCO DIAS DAS ELEIÇÕES</t>
        </is>
      </c>
      <c r="I2753" t="inlineStr"/>
      <c r="J2753">
        <f>HYPERLINK("http://g1.globo.com/mundo/noticia/2016/01/haiti-registra-serie-de-protestos-cinco-dias-de-eleicoes.html", "URL")</f>
        <v/>
      </c>
      <c r="K2753">
        <f>HYPERLINK("https://raw.githubusercontent.com/marcosmapl/dataset_imigrantes/main/noticias_filtered/g1/haitianos/2016/00_jan/html/g1_fcd8af84-231b-11ed-b24f-6dbe51e79fca_3421.html", "HTML")</f>
        <v/>
      </c>
      <c r="L2753">
        <f>HYPERLINK("https://raw.githubusercontent.com/marcosmapl/dataset_imigrantes/main/noticias_filtered/g1/haitianos/2016/00_jan/txt/g1_fcd8af84-231b-11ed-b24f-6dbe51e79fca_3421.txt", "TXT")</f>
        <v/>
      </c>
    </row>
    <row r="2754">
      <c r="A2754" s="1" t="n">
        <v>2752</v>
      </c>
      <c r="B2754" t="n">
        <v>2016</v>
      </c>
      <c r="C2754" s="2" t="n">
        <v>42384.99209490741</v>
      </c>
      <c r="D2754" t="inlineStr">
        <is>
          <t>A CRITICA</t>
        </is>
      </c>
      <c r="E2754" t="inlineStr">
        <is>
          <t>HAITIANOS</t>
        </is>
      </c>
      <c r="F2754" t="inlineStr"/>
      <c r="G2754" t="inlineStr">
        <is>
          <t>LUANA CARVALHO</t>
        </is>
      </c>
      <c r="H2754" t="inlineStr">
        <is>
          <t>SABINO DIZ QUE VAI ATÉ A ÚLTIMA INSTÂNCIA DA JUSTIÇA PARA FICAR COM A GUARDA DE MENINA HAITIANA</t>
        </is>
      </c>
      <c r="I2754" t="inlineStr">
        <is>
          <t>O EX-PARLAMENTAR TAMBÉM ACUSOU A MULHER QUE O DENUNCIOU, AMIGA DO TIO DA CRIANÇA, DE EXTORSÃO</t>
        </is>
      </c>
      <c r="J2754">
        <f>HYPERLINK("https://www.acritica.com/sabino-diz-que-vai-ate-a-ultima-instancia-da-justica-para-ficar-com-a-guarda-de-menina-haitiana-1.246805", "URL")</f>
        <v/>
      </c>
      <c r="K2754">
        <f>HYPERLINK("https://raw.githubusercontent.com/marcosmapl/dataset_imigrantes/main/noticias_filtered/a_critica/haitianos/2016/00_jan/html/1.246805_30.html", "HTML")</f>
        <v/>
      </c>
      <c r="L2754">
        <f>HYPERLINK("https://raw.githubusercontent.com/marcosmapl/dataset_imigrantes/main/noticias_filtered/a_critica/haitianos/2016/00_jan/txt/1.246805_30.txt", "TXT")</f>
        <v/>
      </c>
    </row>
    <row r="2755">
      <c r="A2755" s="1" t="n">
        <v>2753</v>
      </c>
      <c r="B2755" t="n">
        <v>2016</v>
      </c>
      <c r="C2755" s="2" t="n">
        <v>42384.95277777778</v>
      </c>
      <c r="D2755" t="inlineStr">
        <is>
          <t>G1</t>
        </is>
      </c>
      <c r="E2755" t="inlineStr">
        <is>
          <t>HAITIANOS</t>
        </is>
      </c>
      <c r="F2755" t="inlineStr"/>
      <c r="G2755" t="inlineStr">
        <is>
          <t>1 SC</t>
        </is>
      </c>
      <c r="H2755" t="inlineStr">
        <is>
          <t>KOMBI COM HAITIANOS CAI EM RIBANCEIRA E DEIXA FERIDOS EM SC</t>
        </is>
      </c>
      <c r="I2755" t="inlineStr"/>
      <c r="J2755">
        <f>HYPERLINK("http://g1.globo.com/sc/santa-catarina/noticia/2016/01/kombi-com-haitianos-cai-em-ribanceira-e-deixa-feridos-em-sc.html", "URL")</f>
        <v/>
      </c>
      <c r="K2755">
        <f>HYPERLINK("https://raw.githubusercontent.com/marcosmapl/dataset_imigrantes/main/noticias_filtered/g1/haitianos/2016/00_jan/html/g1_961dd950-22f7-11ed-b24f-6dbe51e79fca_2086.html", "HTML")</f>
        <v/>
      </c>
      <c r="L2755">
        <f>HYPERLINK("https://raw.githubusercontent.com/marcosmapl/dataset_imigrantes/main/noticias_filtered/g1/haitianos/2016/00_jan/txt/g1_961dd950-22f7-11ed-b24f-6dbe51e79fca_2086.txt", "TXT")</f>
        <v/>
      </c>
    </row>
    <row r="2756">
      <c r="A2756" s="1" t="n">
        <v>2754</v>
      </c>
      <c r="B2756" t="n">
        <v>2016</v>
      </c>
      <c r="C2756" s="2" t="n">
        <v>42384.92013888889</v>
      </c>
      <c r="D2756" t="inlineStr">
        <is>
          <t>PORTAL AMAZONIA</t>
        </is>
      </c>
      <c r="E2756" t="inlineStr">
        <is>
          <t>HAITIANOS</t>
        </is>
      </c>
      <c r="F2756" t="inlineStr">
        <is>
          <t>CIDADES</t>
        </is>
      </c>
      <c r="G2756" t="inlineStr">
        <is>
          <t>REDAÇÃO</t>
        </is>
      </c>
      <c r="H2756" t="inlineStr">
        <is>
          <t>CRIANÇA HAITIANA É ENTREGUE A TIO APÓS DISPUTA NA JUSTIÇA COM EX-DEPUTADO, NO AM</t>
        </is>
      </c>
      <c r="I2756" t="inlineStr">
        <is>
          <t>MANAUS - A MENINA HAITIANA, DE 3 ANOS DE IDADE, QUE FOI ALVO DE UMA DISPUTA NA JUSTIÇA, ENTRE TIO E O EX-DEPUTADO FEDERAL SABINO CASTELO BRANCO, FOI ENTREGUE À VARA DA INFÂNCIA E JUVENTUDE DE MANAUS, NA MANHÃ DESTA SEXTA-FEIRA (15). DE ACORDO COM A V</t>
        </is>
      </c>
      <c r="J2756">
        <f>HYPERLINK("https://portalamazonia.com/noticias/cidades/crianca-haitiana-e-entregue-a-tio-apos-disputa-na-justica-com-ex-deputado-no-am", "URL")</f>
        <v/>
      </c>
      <c r="K2756">
        <f>HYPERLINK("https://raw.githubusercontent.com/marcosmapl/dataset_imigrantes/main/noticias_filtered/portal_amazonia/haitianos/2016/00_jan/html/18317.25041_1609.html", "HTML")</f>
        <v/>
      </c>
      <c r="L2756">
        <f>HYPERLINK("https://raw.githubusercontent.com/marcosmapl/dataset_imigrantes/main/noticias_filtered/portal_amazonia/haitianos/2016/00_jan/txt/18317.25041_1609.txt", "TXT")</f>
        <v/>
      </c>
    </row>
    <row r="2757">
      <c r="A2757" s="1" t="n">
        <v>2755</v>
      </c>
      <c r="B2757" t="n">
        <v>2016</v>
      </c>
      <c r="C2757" s="2" t="n">
        <v>42384.71515046297</v>
      </c>
      <c r="D2757" t="inlineStr">
        <is>
          <t>A CRITICA</t>
        </is>
      </c>
      <c r="E2757" t="inlineStr">
        <is>
          <t>HAITIANOS</t>
        </is>
      </c>
      <c r="F2757" t="inlineStr">
        <is>
          <t>MANAUS</t>
        </is>
      </c>
      <c r="G2757" t="inlineStr">
        <is>
          <t>LUANA CARVALHO</t>
        </is>
      </c>
      <c r="H2757" t="inlineStr">
        <is>
          <t>CRIANÇA HAITIANA QUE ESTAVA COM SABINO É DEVOLVIDA AO TIO, MAS JUSTIÇA AINDA NÃO DECIDIU O CASO</t>
        </is>
      </c>
      <c r="I2757" t="inlineStr">
        <is>
          <t>O TIO DA MENINA, LUCIUS POPOTTE, TAMBÉM NÃO TEM A GUARDA DA MENINA E ESTÁ COM UMA AUDIÊNCIA PSICOSSOCIAL MARCADA PARA O DIA 24 DESTE MÊS.</t>
        </is>
      </c>
      <c r="J2757">
        <f>HYPERLINK("https://www.acritica.com/manaus/crianca-haitiana-que-estava-com-sabino-e-devolvida-ao-tio-mas-justica-ainda-n-o-decidiu-o-caso-1.246812", "URL")</f>
        <v/>
      </c>
      <c r="K2757">
        <f>HYPERLINK("https://raw.githubusercontent.com/marcosmapl/dataset_imigrantes/main/noticias_filtered/a_critica/haitianos/2016/00_jan/html/1.246812_1115.html", "HTML")</f>
        <v/>
      </c>
      <c r="L2757">
        <f>HYPERLINK("https://raw.githubusercontent.com/marcosmapl/dataset_imigrantes/main/noticias_filtered/a_critica/haitianos/2016/00_jan/txt/1.246812_1115.txt", "TXT")</f>
        <v/>
      </c>
    </row>
    <row r="2758">
      <c r="A2758" s="1" t="n">
        <v>2756</v>
      </c>
      <c r="B2758" t="n">
        <v>2016</v>
      </c>
      <c r="C2758" s="2" t="n">
        <v>42384.64513888889</v>
      </c>
      <c r="D2758" t="inlineStr">
        <is>
          <t>G1</t>
        </is>
      </c>
      <c r="E2758" t="inlineStr">
        <is>
          <t>HAITIANOS</t>
        </is>
      </c>
      <c r="F2758" t="inlineStr"/>
      <c r="G2758" t="inlineStr">
        <is>
          <t>ISON SEVERIANO E ANDREZZA LIFSITCHDO G1 AM</t>
        </is>
      </c>
      <c r="H2758" t="inlineStr">
        <is>
          <t>HAITIANA DE 3 ANOS É DEVOLVIDA A TIO EM MEIO A DISPUTA COM EX-DEPUTADO</t>
        </is>
      </c>
      <c r="I2758" t="inlineStr"/>
      <c r="J2758">
        <f>HYPERLINK("http://g1.globo.com/am/amazonas/noticia/2016/01/haitiana-de-3-anos-e-devolvida-tio-em-meio-disputa-com-ex-deputado.html", "URL")</f>
        <v/>
      </c>
      <c r="K2758">
        <f>HYPERLINK("https://raw.githubusercontent.com/marcosmapl/dataset_imigrantes/main/noticias_filtered/g1/haitianos/2016/00_jan/html/g1_e9a59d58-2309-11ed-b24f-6dbe51e79fca_2473.html", "HTML")</f>
        <v/>
      </c>
      <c r="L2758">
        <f>HYPERLINK("https://raw.githubusercontent.com/marcosmapl/dataset_imigrantes/main/noticias_filtered/g1/haitianos/2016/00_jan/txt/g1_e9a59d58-2309-11ed-b24f-6dbe51e79fca_2473.txt", "TXT")</f>
        <v/>
      </c>
    </row>
    <row r="2759">
      <c r="A2759" s="1" t="n">
        <v>2757</v>
      </c>
      <c r="B2759" t="n">
        <v>2016</v>
      </c>
      <c r="C2759" s="2" t="n">
        <v>42383.88472222222</v>
      </c>
      <c r="D2759" t="inlineStr">
        <is>
          <t>G1</t>
        </is>
      </c>
      <c r="E2759" t="inlineStr">
        <is>
          <t>HAITIANOS</t>
        </is>
      </c>
      <c r="F2759" t="inlineStr"/>
      <c r="G2759" t="inlineStr">
        <is>
          <t>1 AM</t>
        </is>
      </c>
      <c r="H2759" t="inlineStr">
        <is>
          <t>NO AM, HAITIANA DE 3 ANOS FICARÁ COM EX-DEPUTADO ATÉ JUSTIÇA DEFINIR GUARDA</t>
        </is>
      </c>
      <c r="I2759" t="inlineStr"/>
      <c r="J2759">
        <f>HYPERLINK("http://g1.globo.com/am/amazonas/noticia/2016/01/no-am-haitiana-de-3-anos-ficara-com-ex-deputado-ate-justica-definir-guarda.html", "URL")</f>
        <v/>
      </c>
      <c r="K2759">
        <f>HYPERLINK("https://raw.githubusercontent.com/marcosmapl/dataset_imigrantes/main/noticias_filtered/g1/haitianos/2016/00_jan/html/g1_8de8013c-2317-11ed-b24f-6dbe51e79fca_3216.html", "HTML")</f>
        <v/>
      </c>
      <c r="L2759">
        <f>HYPERLINK("https://raw.githubusercontent.com/marcosmapl/dataset_imigrantes/main/noticias_filtered/g1/haitianos/2016/00_jan/txt/g1_8de8013c-2317-11ed-b24f-6dbe51e79fca_3216.txt", "TXT")</f>
        <v/>
      </c>
    </row>
    <row r="2760">
      <c r="A2760" s="1" t="n">
        <v>2758</v>
      </c>
      <c r="B2760" t="n">
        <v>2016</v>
      </c>
      <c r="C2760" s="2" t="n">
        <v>42383.87416666667</v>
      </c>
      <c r="D2760" t="inlineStr">
        <is>
          <t>A CRITICA</t>
        </is>
      </c>
      <c r="E2760" t="inlineStr">
        <is>
          <t>HAITIANOS</t>
        </is>
      </c>
      <c r="F2760" t="inlineStr"/>
      <c r="G2760" t="inlineStr">
        <is>
          <t>ACRITICA.COM*</t>
        </is>
      </c>
      <c r="H2760" t="inlineStr">
        <is>
          <t>EX-DEPUTADO CONTRA TIO: SABINO DIZ QUE NÃO VAI ABRIR DA MÃO DA GUARDA DE MENINA HAITIANA</t>
        </is>
      </c>
      <c r="I2760" t="inlineStr">
        <is>
          <t>SEGUNDO O POLÍTICO, JUIZ PLANTONISTA DA VARA DA INFÂNCIA DESPACHOU DIZENDO QUE SOMENTE O TITULAR PODERÁ DECIDIR O CASO; O EX-PARLAMENTAR AFIRMOU QUE SÓ VAI ENTREGAR A CRIANÇA MEDIANTE DECISÃO DA JUSTIÇA</t>
        </is>
      </c>
      <c r="J2760">
        <f>HYPERLINK("https://www.acritica.com/ex-deputado-contra-tio-sabino-diz-que-n-o-vai-abrir-da-m-o-da-guarda-de-menina-haitiana-1.246771", "URL")</f>
        <v/>
      </c>
      <c r="K2760">
        <f>HYPERLINK("https://raw.githubusercontent.com/marcosmapl/dataset_imigrantes/main/noticias_filtered/a_critica/haitianos/2016/00_jan/html/1.246771_69.html", "HTML")</f>
        <v/>
      </c>
      <c r="L2760">
        <f>HYPERLINK("https://raw.githubusercontent.com/marcosmapl/dataset_imigrantes/main/noticias_filtered/a_critica/haitianos/2016/00_jan/txt/1.246771_69.txt", "TXT")</f>
        <v/>
      </c>
    </row>
    <row r="2761">
      <c r="A2761" s="1" t="n">
        <v>2759</v>
      </c>
      <c r="B2761" t="n">
        <v>2016</v>
      </c>
      <c r="C2761" s="2" t="n">
        <v>42383.87363425926</v>
      </c>
      <c r="D2761" t="inlineStr">
        <is>
          <t>A CRITICA</t>
        </is>
      </c>
      <c r="E2761" t="inlineStr">
        <is>
          <t>HAITIANOS</t>
        </is>
      </c>
      <c r="F2761" t="inlineStr"/>
      <c r="G2761" t="inlineStr">
        <is>
          <t>ACRITICA.COM*</t>
        </is>
      </c>
      <c r="H2761" t="inlineStr">
        <is>
          <t>SE NÃO CONSEGUIR GUARDA, SABINO DIZ QUE ENTREGARÁ CRIANÇA HAITIANA AO CONSELHO TUTELAR HOJE (14)</t>
        </is>
      </c>
      <c r="I2761" t="inlineStr">
        <is>
          <t>EX-DEPUTADO DISPUTA GUARDA DE MENINA DE TRÊS ANOS DE IDADE COM O TIO DELA; CASO FOI PARAR NA DELEGACIA ESPECIALIZADA EM PROTEÇÃO À CRIANÇA E AO ADOLESCENTE (DEPCA) NESTA TERÇA-FEIRA (13)</t>
        </is>
      </c>
      <c r="J2761">
        <f>HYPERLINK("https://www.acritica.com/se-n-o-conseguir-guarda-sabino-diz-que-entregara-crianca-haitiana-ao-conselho-tutelar-hoje-14-1.246773", "URL")</f>
        <v/>
      </c>
      <c r="K2761">
        <f>HYPERLINK("https://raw.githubusercontent.com/marcosmapl/dataset_imigrantes/main/noticias_filtered/a_critica/haitianos/2016/00_jan/html/1.246773_180.html", "HTML")</f>
        <v/>
      </c>
      <c r="L2761">
        <f>HYPERLINK("https://raw.githubusercontent.com/marcosmapl/dataset_imigrantes/main/noticias_filtered/a_critica/haitianos/2016/00_jan/txt/1.246773_180.txt", "TXT")</f>
        <v/>
      </c>
    </row>
    <row r="2762">
      <c r="A2762" s="1" t="n">
        <v>2760</v>
      </c>
      <c r="B2762" t="n">
        <v>2016</v>
      </c>
      <c r="C2762" s="2" t="n">
        <v>42383.57916666667</v>
      </c>
      <c r="D2762" t="inlineStr">
        <is>
          <t>G1</t>
        </is>
      </c>
      <c r="E2762" t="inlineStr">
        <is>
          <t>HAITIANOS</t>
        </is>
      </c>
      <c r="F2762" t="inlineStr"/>
      <c r="G2762" t="inlineStr">
        <is>
          <t>ISON SEVERIANODO G1 AM</t>
        </is>
      </c>
      <c r="H2762" t="inlineStr">
        <is>
          <t>CRIANÇA HAITIANA É ALVO DE DISPUTA ENTRE TIO E EX-DEPUTADO SABINO, NO AM</t>
        </is>
      </c>
      <c r="I2762" t="inlineStr"/>
      <c r="J2762">
        <f>HYPERLINK("http://g1.globo.com/am/amazonas/noticia/2016/01/crianca-haitiana-e-alvo-de-disputa-de-tio-e-do-ex-deputado-sabino-no-am.html", "URL")</f>
        <v/>
      </c>
      <c r="K2762">
        <f>HYPERLINK("https://raw.githubusercontent.com/marcosmapl/dataset_imigrantes/main/noticias_filtered/g1/haitianos/2016/00_jan/html/g1_85c1da2c-2309-11ed-b24f-6dbe51e79fca_2449.html", "HTML")</f>
        <v/>
      </c>
      <c r="L2762">
        <f>HYPERLINK("https://raw.githubusercontent.com/marcosmapl/dataset_imigrantes/main/noticias_filtered/g1/haitianos/2016/00_jan/txt/g1_85c1da2c-2309-11ed-b24f-6dbe51e79fca_2449.txt", "TXT")</f>
        <v/>
      </c>
    </row>
    <row r="2763">
      <c r="A2763" s="1" t="n">
        <v>2761</v>
      </c>
      <c r="B2763" t="n">
        <v>2016</v>
      </c>
      <c r="C2763" s="2" t="n">
        <v>42382.74375</v>
      </c>
      <c r="D2763" t="inlineStr">
        <is>
          <t>G1</t>
        </is>
      </c>
      <c r="E2763" t="inlineStr">
        <is>
          <t>HAITIANOS</t>
        </is>
      </c>
      <c r="F2763" t="inlineStr"/>
      <c r="G2763" t="inlineStr">
        <is>
          <t>NA MORAISDO G1 RO</t>
        </is>
      </c>
      <c r="H2763" t="inlineStr">
        <is>
          <t>HAITIANOS PERDEM MÓVEIS E OBJETOS  APÓS INCÊNDIO EM APARTAMENTO EM RO</t>
        </is>
      </c>
      <c r="I2763" t="inlineStr"/>
      <c r="J2763">
        <f>HYPERLINK("http://g1.globo.com/ro/rondonia/noticia/2016/01/haitianos-perdem-moveis-e-objetos-apos-incendio-em-apartamento-em-ro.html", "URL")</f>
        <v/>
      </c>
      <c r="K2763">
        <f>HYPERLINK("https://raw.githubusercontent.com/marcosmapl/dataset_imigrantes/main/noticias_filtered/g1/haitianos/2016/00_jan/html/g1_173612f2-22f1-11ed-b24f-6dbe51e79fca_1734.html", "HTML")</f>
        <v/>
      </c>
      <c r="L2763">
        <f>HYPERLINK("https://raw.githubusercontent.com/marcosmapl/dataset_imigrantes/main/noticias_filtered/g1/haitianos/2016/00_jan/txt/g1_173612f2-22f1-11ed-b24f-6dbe51e79fca_1734.txt", "TXT")</f>
        <v/>
      </c>
    </row>
    <row r="2764">
      <c r="A2764" s="1" t="n">
        <v>2762</v>
      </c>
      <c r="B2764" t="n">
        <v>2016</v>
      </c>
      <c r="C2764" s="2" t="n">
        <v>42381.84930555556</v>
      </c>
      <c r="D2764" t="inlineStr">
        <is>
          <t>G1</t>
        </is>
      </c>
      <c r="E2764" t="inlineStr">
        <is>
          <t>HAITIANOS</t>
        </is>
      </c>
      <c r="F2764" t="inlineStr"/>
      <c r="G2764" t="inlineStr">
        <is>
          <t>FP</t>
        </is>
      </c>
      <c r="H2764" t="inlineStr">
        <is>
          <t>HAITI HOMENAGEIA MORTOS SEIS ANOS APÓS TERREMOTO</t>
        </is>
      </c>
      <c r="I2764" t="inlineStr"/>
      <c r="J2764">
        <f>HYPERLINK("http://g1.globo.com/mundo/noticia/2016/01/haiti-homenageia-mortos-seis-anos-apos-terremoto.html", "URL")</f>
        <v/>
      </c>
      <c r="K2764">
        <f>HYPERLINK("https://raw.githubusercontent.com/marcosmapl/dataset_imigrantes/main/noticias_filtered/g1/haitianos/2016/00_jan/html/g1_83814eec-2326-11ed-b24f-6dbe51e79fca_3981.html", "HTML")</f>
        <v/>
      </c>
      <c r="L2764">
        <f>HYPERLINK("https://raw.githubusercontent.com/marcosmapl/dataset_imigrantes/main/noticias_filtered/g1/haitianos/2016/00_jan/txt/g1_83814eec-2326-11ed-b24f-6dbe51e79fca_3981.txt", "TXT")</f>
        <v/>
      </c>
    </row>
    <row r="2765">
      <c r="A2765" s="1" t="n">
        <v>2763</v>
      </c>
      <c r="B2765" t="n">
        <v>2016</v>
      </c>
      <c r="C2765" s="2" t="n">
        <v>42381.67296296296</v>
      </c>
      <c r="D2765" t="inlineStr">
        <is>
          <t>A CRITICA</t>
        </is>
      </c>
      <c r="E2765" t="inlineStr">
        <is>
          <t>HAITIANOS</t>
        </is>
      </c>
      <c r="F2765" t="inlineStr">
        <is>
          <t>MANAUS</t>
        </is>
      </c>
      <c r="G2765" t="inlineStr">
        <is>
          <t>LUANA CARVALHO</t>
        </is>
      </c>
      <c r="H2765" t="inlineStr">
        <is>
          <t>SEIS ANOS APÓS TRAGÉDIA, HAITIANOS QUE ELEGERAM MANAUS COMO NOVO LAR NÃO QUEREM MAIS SAIR DAQUI</t>
        </is>
      </c>
      <c r="I2765" t="inlineStr">
        <is>
          <t>CONHEÇA AS HISTÓRIAS DE HAITIANOS QUE SÃO APAIXONADOS PELA CAPITAL AMAZONENSE; CENTENAS IMIGRARAM PARA O AMAZONAS DESDE 2010, ANO DO TERREMOTO QUE DEIXOU MILHARES DE MORTOS NA ILHA CARIBENHA</t>
        </is>
      </c>
      <c r="J2765">
        <f>HYPERLINK("https://www.acritica.com/manaus/seis-anos-apos-tragedia-haitianos-que-elegeram-manaus-como-novo-lar-n-o-querem-mais-sair-daqui-1.246872", "URL")</f>
        <v/>
      </c>
      <c r="K2765">
        <f>HYPERLINK("https://raw.githubusercontent.com/marcosmapl/dataset_imigrantes/main/noticias_filtered/a_critica/haitianos/2016/00_jan/html/1.246872_689.html", "HTML")</f>
        <v/>
      </c>
      <c r="L2765">
        <f>HYPERLINK("https://raw.githubusercontent.com/marcosmapl/dataset_imigrantes/main/noticias_filtered/a_critica/haitianos/2016/00_jan/txt/1.246872_689.txt", "TXT")</f>
        <v/>
      </c>
    </row>
    <row r="2766">
      <c r="A2766" s="1" t="n">
        <v>2764</v>
      </c>
      <c r="B2766" t="n">
        <v>2016</v>
      </c>
      <c r="C2766" s="2" t="n">
        <v>42378.74375</v>
      </c>
      <c r="D2766" t="inlineStr">
        <is>
          <t>PORTAL AMAZONIA</t>
        </is>
      </c>
      <c r="E2766" t="inlineStr">
        <is>
          <t>VENEZUELANOS</t>
        </is>
      </c>
      <c r="F2766" t="inlineStr">
        <is>
          <t>CIDADES</t>
        </is>
      </c>
      <c r="G2766" t="inlineStr">
        <is>
          <t>REDAÇÃO</t>
        </is>
      </c>
      <c r="H2766" t="inlineStr">
        <is>
          <t>LINHA DO TEMPO: ENTENDA A SITUAÇÃO POLÍTICA ATUAL DA VENEZUELA</t>
        </is>
      </c>
      <c r="I2766" t="inlineStr">
        <is>
          <t>MANAUS - RECENTEMENTE, A OPOSIÇÃO DA VENEZUELA ASSUMIU O CONTROLE DO CONGRESSO. A INSTALAÇÃO DA ASSEMBLEIA NACIONAL, ELEITA NAS HISTÓRICAS ELEIÇÕES PARLAMENTARES DE 6 DE DEZEMBRO, ACONTECE COM MUITAS TENSÕES E ATÉ UMA FALA EFUSIVA DO PRESIDENTE</t>
        </is>
      </c>
      <c r="J2766">
        <f>HYPERLINK("https://portalamazonia.com/noticias/cidades/linha-do-tempo-entenda-a-situacao-politica-atual-da-venezuela", "URL")</f>
        <v/>
      </c>
      <c r="K2766">
        <f>HYPERLINK("https://raw.githubusercontent.com/marcosmapl/dataset_imigrantes/main/noticias_filtered/portal_amazonia/venezuelanos/2016/00_jan/html/18149.18149_1578.html", "HTML")</f>
        <v/>
      </c>
      <c r="L2766">
        <f>HYPERLINK("https://raw.githubusercontent.com/marcosmapl/dataset_imigrantes/main/noticias_filtered/portal_amazonia/venezuelanos/2016/00_jan/txt/18149.18149_1578.txt", "TXT")</f>
        <v/>
      </c>
    </row>
    <row r="2767">
      <c r="A2767" s="1" t="n">
        <v>2765</v>
      </c>
      <c r="B2767" t="n">
        <v>2016</v>
      </c>
      <c r="C2767" s="2" t="n">
        <v>42377.24027777778</v>
      </c>
      <c r="D2767" t="inlineStr">
        <is>
          <t>G1</t>
        </is>
      </c>
      <c r="E2767" t="inlineStr">
        <is>
          <t>HAITIANOS</t>
        </is>
      </c>
      <c r="F2767" t="inlineStr"/>
      <c r="G2767" t="inlineStr">
        <is>
          <t xml:space="preserve"> FULGÊNCIODO G1 AC</t>
        </is>
      </c>
      <c r="H2767" t="inlineStr">
        <is>
          <t>Nº DE HAITIANOS QUE ENTRAM NO BRASIL PELO ACRE CAI 96% EM 12 MESES</t>
        </is>
      </c>
      <c r="I2767" t="inlineStr"/>
      <c r="J2767">
        <f>HYPERLINK("http://g1.globo.com/ac/acre/noticia/2016/01/n-de-haitianos-que-entram-no-brasil-pelo-acre-cai-96-em-12-meses.html", "URL")</f>
        <v/>
      </c>
      <c r="K2767">
        <f>HYPERLINK("https://raw.githubusercontent.com/marcosmapl/dataset_imigrantes/main/noticias_filtered/g1/haitianos/2016/00_jan/html/g1_4904bc5a-22f8-11ed-b24f-6dbe51e79fca_2126.html", "HTML")</f>
        <v/>
      </c>
      <c r="L2767">
        <f>HYPERLINK("https://raw.githubusercontent.com/marcosmapl/dataset_imigrantes/main/noticias_filtered/g1/haitianos/2016/00_jan/txt/g1_4904bc5a-22f8-11ed-b24f-6dbe51e79fca_2126.txt", "TXT")</f>
        <v/>
      </c>
    </row>
    <row r="2768">
      <c r="A2768" s="1" t="n">
        <v>2766</v>
      </c>
      <c r="B2768" t="n">
        <v>2016</v>
      </c>
      <c r="C2768" s="2" t="n">
        <v>42374.55277777778</v>
      </c>
      <c r="D2768" t="inlineStr">
        <is>
          <t>G1</t>
        </is>
      </c>
      <c r="E2768" t="inlineStr">
        <is>
          <t>VENEZUELANOS</t>
        </is>
      </c>
      <c r="F2768" t="inlineStr"/>
      <c r="G2768" t="inlineStr">
        <is>
          <t>PE MATOSODO G1, EM BRASÍLIA</t>
        </is>
      </c>
      <c r="H2768" t="inlineStr">
        <is>
          <t>ITAMARATY DEFENDE EM NOTA RESPEITO À NOVA ASSEMBLEIA VENEZUELANA</t>
        </is>
      </c>
      <c r="I2768" t="inlineStr"/>
      <c r="J2768">
        <f>HYPERLINK("http://g1.globo.com/mundo/noticia/2016/01/itamaraty-defende-em-nota-respeito-nova-assembleia-venezuelana.html", "URL")</f>
        <v/>
      </c>
      <c r="K2768">
        <f>HYPERLINK("https://raw.githubusercontent.com/marcosmapl/dataset_imigrantes/main/noticias_filtered/g1/venezuelanos/2016/00_jan/html/g1_fd57ed16-2308-11ed-b24f-6dbe51e79fca_2418.html", "HTML")</f>
        <v/>
      </c>
      <c r="L2768">
        <f>HYPERLINK("https://raw.githubusercontent.com/marcosmapl/dataset_imigrantes/main/noticias_filtered/g1/venezuelanos/2016/00_jan/txt/g1_fd57ed16-2308-11ed-b24f-6dbe51e79fca_2418.txt", "TXT")</f>
        <v/>
      </c>
    </row>
    <row r="2769">
      <c r="A2769" s="1" t="n">
        <v>2767</v>
      </c>
      <c r="B2769" t="n">
        <v>2016</v>
      </c>
      <c r="C2769" s="2" t="n">
        <v>42373.69027777778</v>
      </c>
      <c r="D2769" t="inlineStr">
        <is>
          <t>G1</t>
        </is>
      </c>
      <c r="E2769" t="inlineStr">
        <is>
          <t>HAITIANOS</t>
        </is>
      </c>
      <c r="F2769" t="inlineStr"/>
      <c r="G2769" t="inlineStr">
        <is>
          <t>1 RS</t>
        </is>
      </c>
      <c r="H2769" t="inlineStr">
        <is>
          <t>JUSTIÇA DERRUBA LIMINAR QUE PERMITIA ENTRADA DE FAMÍLIA HAITIANA SEM VISTO</t>
        </is>
      </c>
      <c r="I2769" t="inlineStr"/>
      <c r="J2769">
        <f>HYPERLINK("http://g1.globo.com/rs/rio-grande-do-sul/noticia/2016/01/justica-derruba-liminar-que-permitia-entrada-de-familia-haitiana-sem-visto.html", "URL")</f>
        <v/>
      </c>
      <c r="K2769">
        <f>HYPERLINK("https://raw.githubusercontent.com/marcosmapl/dataset_imigrantes/main/noticias_filtered/g1/haitianos/2016/00_jan/html/g1_e89d6d82-231d-11ed-b24f-6dbe51e79fca_3528.html", "HTML")</f>
        <v/>
      </c>
      <c r="L2769">
        <f>HYPERLINK("https://raw.githubusercontent.com/marcosmapl/dataset_imigrantes/main/noticias_filtered/g1/haitianos/2016/00_jan/txt/g1_e89d6d82-231d-11ed-b24f-6dbe51e79fca_3528.txt", "TXT")</f>
        <v/>
      </c>
    </row>
    <row r="2770">
      <c r="A2770" s="1" t="n">
        <v>2768</v>
      </c>
      <c r="B2770" t="n">
        <v>2016</v>
      </c>
      <c r="C2770" s="2" t="n">
        <v>42370.86597222222</v>
      </c>
      <c r="D2770" t="inlineStr">
        <is>
          <t>G1</t>
        </is>
      </c>
      <c r="E2770" t="inlineStr">
        <is>
          <t>HAITIANOS</t>
        </is>
      </c>
      <c r="F2770" t="inlineStr"/>
      <c r="G2770" t="inlineStr">
        <is>
          <t>1 PR, COM INFORMAÇÕES DA RPC CURITIBA</t>
        </is>
      </c>
      <c r="H2770" t="inlineStr">
        <is>
          <t>PRIMEIRO BEBÊ A NASCER EM 2016, EM CURITIBA, TEM PAIS HAITIANOS REFUGIADOS</t>
        </is>
      </c>
      <c r="I2770" t="inlineStr"/>
      <c r="J2770">
        <f>HYPERLINK("http://g1.globo.com/pr/parana/noticia/2016/01/primeiro-bebe-nascer-em-2016-em-curitiba-tem-pais-haitianos-refugiados.html", "URL")</f>
        <v/>
      </c>
      <c r="K2770">
        <f>HYPERLINK("https://raw.githubusercontent.com/marcosmapl/dataset_imigrantes/main/noticias_filtered/g1/haitianos/2016/00_jan/html/g1_a95e4624-22f4-11ed-b24f-6dbe51e79fca_1903.html", "HTML")</f>
        <v/>
      </c>
      <c r="L2770">
        <f>HYPERLINK("https://raw.githubusercontent.com/marcosmapl/dataset_imigrantes/main/noticias_filtered/g1/haitianos/2016/00_jan/txt/g1_a95e4624-22f4-11ed-b24f-6dbe51e79fca_1903.txt", "TXT")</f>
        <v/>
      </c>
    </row>
    <row r="2771">
      <c r="A2771" s="1" t="n">
        <v>2769</v>
      </c>
      <c r="B2771" t="n">
        <v>2015</v>
      </c>
      <c r="C2771" s="2" t="n">
        <v>42368.50069444445</v>
      </c>
      <c r="D2771" t="inlineStr">
        <is>
          <t>G1</t>
        </is>
      </c>
      <c r="E2771" t="inlineStr">
        <is>
          <t>HAITIANOS</t>
        </is>
      </c>
      <c r="F2771" t="inlineStr"/>
      <c r="G2771" t="inlineStr">
        <is>
          <t>1 MT</t>
        </is>
      </c>
      <c r="H2771" t="inlineStr">
        <is>
          <t>AMIGOS FAZEM CAMPANHA PARA AJUDAR HAITIANO PARAPLÉGICO A VOLTAR PARA CASA</t>
        </is>
      </c>
      <c r="I2771" t="inlineStr"/>
      <c r="J2771">
        <f>HYPERLINK("http://g1.globo.com/mato-grosso/noticia/2015/12/amigos-fazem-campanha-para-ajudar-haitiano-paraplegico-voltar-para-casa.html", "URL")</f>
        <v/>
      </c>
      <c r="K2771">
        <f>HYPERLINK("https://raw.githubusercontent.com/marcosmapl/dataset_imigrantes/main/noticias_filtered/g1/haitianos/2015/11_dez/html/g1_09e9f532-230a-11ed-b24f-6dbe51e79fca_2481.html", "HTML")</f>
        <v/>
      </c>
      <c r="L2771">
        <f>HYPERLINK("https://raw.githubusercontent.com/marcosmapl/dataset_imigrantes/main/noticias_filtered/g1/haitianos/2015/11_dez/txt/g1_09e9f532-230a-11ed-b24f-6dbe51e79fca_2481.txt", "TXT")</f>
        <v/>
      </c>
    </row>
    <row r="2772">
      <c r="A2772" s="1" t="n">
        <v>2770</v>
      </c>
      <c r="B2772" t="n">
        <v>2015</v>
      </c>
      <c r="C2772" s="2" t="n">
        <v>42367.26597222222</v>
      </c>
      <c r="D2772" t="inlineStr">
        <is>
          <t>G1</t>
        </is>
      </c>
      <c r="E2772" t="inlineStr">
        <is>
          <t>HAITIANOS</t>
        </is>
      </c>
      <c r="F2772" t="inlineStr"/>
      <c r="G2772" t="inlineStr">
        <is>
          <t>SON MARUYAMACAMPO GRANDE, MS</t>
        </is>
      </c>
      <c r="H2772" t="inlineStr">
        <is>
          <t>ANO NOVO É CHANCE DE RECOMEÇO PARA HAITIANOS QUE VIVEM NO BRASIL</t>
        </is>
      </c>
      <c r="I2772" t="inlineStr"/>
      <c r="J2772">
        <f>HYPERLINK("http://g1.globo.com/hora1/noticia/2015/12/ano-novo-e-chance-de-recomeco-para-haitianos-que-vivem-no-brasil.html", "URL")</f>
        <v/>
      </c>
      <c r="K2772">
        <f>HYPERLINK("https://raw.githubusercontent.com/marcosmapl/dataset_imigrantes/main/noticias_filtered/g1/haitianos/2015/11_dez/html/g1_86d598aa-22f4-11ed-b24f-6dbe51e79fca_1895.html", "HTML")</f>
        <v/>
      </c>
      <c r="L2772">
        <f>HYPERLINK("https://raw.githubusercontent.com/marcosmapl/dataset_imigrantes/main/noticias_filtered/g1/haitianos/2015/11_dez/txt/g1_86d598aa-22f4-11ed-b24f-6dbe51e79fca_1895.txt", "TXT")</f>
        <v/>
      </c>
    </row>
    <row r="2773">
      <c r="A2773" s="1" t="n">
        <v>2771</v>
      </c>
      <c r="B2773" t="n">
        <v>2015</v>
      </c>
      <c r="C2773" s="2" t="n">
        <v>42366.66666666666</v>
      </c>
      <c r="D2773" t="inlineStr">
        <is>
          <t>G1</t>
        </is>
      </c>
      <c r="E2773" t="inlineStr">
        <is>
          <t>HAITIANOS</t>
        </is>
      </c>
      <c r="F2773" t="inlineStr"/>
      <c r="G2773" t="inlineStr">
        <is>
          <t>1 BAURU E MARÍLIA</t>
        </is>
      </c>
      <c r="H2773" t="inlineStr">
        <is>
          <t>SENAC BOTUCATU ABRE INSCRIÇÕES PARA VAGAS EM CURSOS GRATUITOS</t>
        </is>
      </c>
      <c r="I2773" t="inlineStr"/>
      <c r="J2773">
        <f>HYPERLINK("http://g1.globo.com/sp/bauru-marilia/noticia/2015/12/senac-botucatu-abre-inscricoes-para-vagas-em-cursos-gratuitos.html", "URL")</f>
        <v/>
      </c>
      <c r="K2773">
        <f>HYPERLINK("https://raw.githubusercontent.com/marcosmapl/dataset_imigrantes/main/noticias_filtered/g1/haitianos/2015/11_dez/html/g1_a2267db2-2327-11ed-b24f-6dbe51e79fca_4044.html", "HTML")</f>
        <v/>
      </c>
      <c r="L2773">
        <f>HYPERLINK("https://raw.githubusercontent.com/marcosmapl/dataset_imigrantes/main/noticias_filtered/g1/haitianos/2015/11_dez/txt/g1_a2267db2-2327-11ed-b24f-6dbe51e79fca_4044.txt", "TXT")</f>
        <v/>
      </c>
    </row>
    <row r="2774">
      <c r="A2774" s="1" t="n">
        <v>2772</v>
      </c>
      <c r="B2774" t="n">
        <v>2015</v>
      </c>
      <c r="C2774" s="2" t="n">
        <v>42366.35972222222</v>
      </c>
      <c r="D2774" t="inlineStr">
        <is>
          <t>G1</t>
        </is>
      </c>
      <c r="E2774" t="inlineStr">
        <is>
          <t>HAITIANOS</t>
        </is>
      </c>
      <c r="F2774" t="inlineStr"/>
      <c r="G2774" t="inlineStr">
        <is>
          <t>1 MS COM INFORMAÇÕES DA  TV MORENA</t>
        </is>
      </c>
      <c r="H2774" t="inlineStr">
        <is>
          <t>HAITIANOS SE APEGAM ÀS LEMBRANÇAS PARA AMENIZAR A SAUDADE EM MS</t>
        </is>
      </c>
      <c r="I2774" t="inlineStr"/>
      <c r="J2774">
        <f>HYPERLINK("http://g1.globo.com/mato-grosso-do-sul/noticia/2015/12/haitianos-se-apegam-lembrancas-para-amenizar-saudade-em-ms.html", "URL")</f>
        <v/>
      </c>
      <c r="K2774">
        <f>HYPERLINK("https://raw.githubusercontent.com/marcosmapl/dataset_imigrantes/main/noticias_filtered/g1/haitianos/2015/11_dez/html/g1_dbce0c58-22f8-11ed-b24f-6dbe51e79fca_2162.html", "HTML")</f>
        <v/>
      </c>
      <c r="L2774">
        <f>HYPERLINK("https://raw.githubusercontent.com/marcosmapl/dataset_imigrantes/main/noticias_filtered/g1/haitianos/2015/11_dez/txt/g1_dbce0c58-22f8-11ed-b24f-6dbe51e79fca_2162.txt", "TXT")</f>
        <v/>
      </c>
    </row>
    <row r="2775">
      <c r="A2775" s="1" t="n">
        <v>2773</v>
      </c>
      <c r="B2775" t="n">
        <v>2015</v>
      </c>
      <c r="C2775" s="2" t="n">
        <v>42365.33333333334</v>
      </c>
      <c r="D2775" t="inlineStr">
        <is>
          <t>G1</t>
        </is>
      </c>
      <c r="E2775" t="inlineStr">
        <is>
          <t>HAITIANOS</t>
        </is>
      </c>
      <c r="F2775" t="inlineStr"/>
      <c r="G2775" t="inlineStr">
        <is>
          <t>1 BAURU E MARÍLIA</t>
        </is>
      </c>
      <c r="H2775" t="inlineStr">
        <is>
          <t>HAITIANA COMEMORA REENCONTRO COM FILHOS APÓS TRÊS ANOS NO BRASIL</t>
        </is>
      </c>
      <c r="I2775" t="inlineStr"/>
      <c r="J2775">
        <f>HYPERLINK("http://g1.globo.com/sp/bauru-marilia/noticia/2015/12/haitiana-comemora-reencontro-com-filhos-apos-tres-anos-no-brasil.html", "URL")</f>
        <v/>
      </c>
      <c r="K2775">
        <f>HYPERLINK("https://raw.githubusercontent.com/marcosmapl/dataset_imigrantes/main/noticias_filtered/g1/haitianos/2015/11_dez/html/g1_b9f87a22-2326-11ed-b24f-6dbe51e79fca_3995.html", "HTML")</f>
        <v/>
      </c>
      <c r="L2775">
        <f>HYPERLINK("https://raw.githubusercontent.com/marcosmapl/dataset_imigrantes/main/noticias_filtered/g1/haitianos/2015/11_dez/txt/g1_b9f87a22-2326-11ed-b24f-6dbe51e79fca_3995.txt", "TXT")</f>
        <v/>
      </c>
    </row>
    <row r="2776">
      <c r="A2776" s="1" t="n">
        <v>2774</v>
      </c>
      <c r="B2776" t="n">
        <v>2015</v>
      </c>
      <c r="C2776" s="2" t="n">
        <v>42354.76666666667</v>
      </c>
      <c r="D2776" t="inlineStr">
        <is>
          <t>G1</t>
        </is>
      </c>
      <c r="E2776" t="inlineStr">
        <is>
          <t>VENEZUELANOS</t>
        </is>
      </c>
      <c r="F2776" t="inlineStr"/>
      <c r="G2776" t="inlineStr">
        <is>
          <t>FP</t>
        </is>
      </c>
      <c r="H2776" t="inlineStr">
        <is>
          <t>OPOSIÇÃO VENEZUELANA DENUNCIA DEMISSÕES POR 'RAZÕES POLÍTICAS'</t>
        </is>
      </c>
      <c r="I2776" t="inlineStr"/>
      <c r="J2776">
        <f>HYPERLINK("http://g1.globo.com/mundo/noticia/2015/12/oposicao-venezuelana-denuncia-demissoes-por-razoes-politicas.html", "URL")</f>
        <v/>
      </c>
      <c r="K2776">
        <f>HYPERLINK("https://raw.githubusercontent.com/marcosmapl/dataset_imigrantes/main/noticias_filtered/g1/venezuelanos/2015/11_dez/html/g1_4cbbc0d2-231b-11ed-b24f-6dbe51e79fca_3377.html", "HTML")</f>
        <v/>
      </c>
      <c r="L2776">
        <f>HYPERLINK("https://raw.githubusercontent.com/marcosmapl/dataset_imigrantes/main/noticias_filtered/g1/venezuelanos/2015/11_dez/txt/g1_4cbbc0d2-231b-11ed-b24f-6dbe51e79fca_3377.txt", "TXT")</f>
        <v/>
      </c>
    </row>
    <row r="2777">
      <c r="A2777" s="1" t="n">
        <v>2775</v>
      </c>
      <c r="B2777" t="n">
        <v>2015</v>
      </c>
      <c r="C2777" s="2" t="n">
        <v>42348.47083333333</v>
      </c>
      <c r="D2777" t="inlineStr">
        <is>
          <t>G1</t>
        </is>
      </c>
      <c r="E2777" t="inlineStr">
        <is>
          <t>HAITIANOS</t>
        </is>
      </c>
      <c r="F2777" t="inlineStr"/>
      <c r="G2777" t="inlineStr">
        <is>
          <t>1 MT</t>
        </is>
      </c>
      <c r="H2777" t="inlineStr">
        <is>
          <t>HAITIANO BALEADO TERIA SIDO VÍTIMA DE XENOFOBIA, DIZEM ORGANIZAÇÕES SOCIAIS</t>
        </is>
      </c>
      <c r="I2777" t="inlineStr"/>
      <c r="J2777">
        <f>HYPERLINK("http://g1.globo.com/mato-grosso/noticia/2015/12/haitiano-baleado-teria-sido-vitima-de-xenofobia-dizem-organizacoes-sociais.html", "URL")</f>
        <v/>
      </c>
      <c r="K2777">
        <f>HYPERLINK("https://raw.githubusercontent.com/marcosmapl/dataset_imigrantes/main/noticias_filtered/g1/haitianos/2015/11_dez/html/g1_5a3a2e6e-2326-11ed-b24f-6dbe51e79fca_3971.html", "HTML")</f>
        <v/>
      </c>
      <c r="L2777">
        <f>HYPERLINK("https://raw.githubusercontent.com/marcosmapl/dataset_imigrantes/main/noticias_filtered/g1/haitianos/2015/11_dez/txt/g1_5a3a2e6e-2326-11ed-b24f-6dbe51e79fca_3971.txt", "TXT")</f>
        <v/>
      </c>
    </row>
    <row r="2778">
      <c r="A2778" s="1" t="n">
        <v>2776</v>
      </c>
      <c r="B2778" t="n">
        <v>2015</v>
      </c>
      <c r="C2778" s="2" t="n">
        <v>42348.41111111111</v>
      </c>
      <c r="D2778" t="inlineStr">
        <is>
          <t>G1</t>
        </is>
      </c>
      <c r="E2778" t="inlineStr">
        <is>
          <t>VENEZUELANOS</t>
        </is>
      </c>
      <c r="F2778" t="inlineStr"/>
      <c r="G2778" t="inlineStr">
        <is>
          <t>EL PARDODA BBC</t>
        </is>
      </c>
      <c r="H2778" t="inlineStr">
        <is>
          <t>QUATRO DESAFIOS DA OPOSIÇÃO VENEZUELANA APÓS VITÓRIA NAS ELEIÇÕES</t>
        </is>
      </c>
      <c r="I2778" t="inlineStr"/>
      <c r="J2778">
        <f>HYPERLINK("http://g1.globo.com/mundo/noticia/2015/12/quatro-desafios-da-oposicao-venezuelana-apos-vitoria-nas-eleicoes.html", "URL")</f>
        <v/>
      </c>
      <c r="K2778">
        <f>HYPERLINK("https://raw.githubusercontent.com/marcosmapl/dataset_imigrantes/main/noticias_filtered/g1/venezuelanos/2015/11_dez/html/g1_111c7fe0-2315-11ed-b24f-6dbe51e79fca_3064.html", "HTML")</f>
        <v/>
      </c>
      <c r="L2778">
        <f>HYPERLINK("https://raw.githubusercontent.com/marcosmapl/dataset_imigrantes/main/noticias_filtered/g1/venezuelanos/2015/11_dez/txt/g1_111c7fe0-2315-11ed-b24f-6dbe51e79fca_3064.txt", "TXT")</f>
        <v/>
      </c>
    </row>
    <row r="2779">
      <c r="A2779" s="1" t="n">
        <v>2777</v>
      </c>
      <c r="B2779" t="n">
        <v>2015</v>
      </c>
      <c r="C2779" s="2" t="n">
        <v>42346.9125</v>
      </c>
      <c r="D2779" t="inlineStr">
        <is>
          <t>G1</t>
        </is>
      </c>
      <c r="E2779" t="inlineStr">
        <is>
          <t>VENEZUELANOS</t>
        </is>
      </c>
      <c r="F2779" t="inlineStr"/>
      <c r="G2779" t="inlineStr">
        <is>
          <t>FP</t>
        </is>
      </c>
      <c r="H2779" t="inlineStr">
        <is>
          <t>OPOSIÇÃO VENEZUELANA CONSEGUE MAIORIA DE DOIS TERÇOS NO PARLAMENTO</t>
        </is>
      </c>
      <c r="I2779" t="inlineStr"/>
      <c r="J2779">
        <f>HYPERLINK("http://g1.globo.com/mundo/noticia/2015/12/oposicao-venezuelana-consegue-maioria-de-dois-tercos-no-parlamento.html", "URL")</f>
        <v/>
      </c>
      <c r="K2779">
        <f>HYPERLINK("https://raw.githubusercontent.com/marcosmapl/dataset_imigrantes/main/noticias_filtered/g1/venezuelanos/2015/11_dez/html/g1_77b0e2ae-232a-11ed-b24f-6dbe51e79fca_4181.html", "HTML")</f>
        <v/>
      </c>
      <c r="L2779">
        <f>HYPERLINK("https://raw.githubusercontent.com/marcosmapl/dataset_imigrantes/main/noticias_filtered/g1/venezuelanos/2015/11_dez/txt/g1_77b0e2ae-232a-11ed-b24f-6dbe51e79fca_4181.txt", "TXT")</f>
        <v/>
      </c>
    </row>
    <row r="2780">
      <c r="A2780" s="1" t="n">
        <v>2778</v>
      </c>
      <c r="B2780" t="n">
        <v>2015</v>
      </c>
      <c r="C2780" s="2" t="n">
        <v>42345.37638888889</v>
      </c>
      <c r="D2780" t="inlineStr">
        <is>
          <t>G1</t>
        </is>
      </c>
      <c r="E2780" t="inlineStr">
        <is>
          <t>HAITIANOS</t>
        </is>
      </c>
      <c r="F2780" t="inlineStr"/>
      <c r="G2780" t="inlineStr">
        <is>
          <t>1 RS</t>
        </is>
      </c>
      <c r="H2780" t="inlineStr">
        <is>
          <t>'ESTOU FELIZ', DIZ HAITIANO QUE ESTÁ NO RS APÓS UNIÃO AUTORIZAR PERMANÊNCIA</t>
        </is>
      </c>
      <c r="I2780" t="inlineStr"/>
      <c r="J2780">
        <f>HYPERLINK("http://g1.globo.com/rs/rio-grande-do-sul/noticia/2015/12/estou-feliz-diz-haitiano-que-esta-no-rs-apos-uniao-autorizar-permanencia.html", "URL")</f>
        <v/>
      </c>
      <c r="K2780">
        <f>HYPERLINK("https://raw.githubusercontent.com/marcosmapl/dataset_imigrantes/main/noticias_filtered/g1/haitianos/2015/11_dez/html/g1_ffb4a220-2317-11ed-b24f-6dbe51e79fca_3239.html", "HTML")</f>
        <v/>
      </c>
      <c r="L2780">
        <f>HYPERLINK("https://raw.githubusercontent.com/marcosmapl/dataset_imigrantes/main/noticias_filtered/g1/haitianos/2015/11_dez/txt/g1_ffb4a220-2317-11ed-b24f-6dbe51e79fca_3239.txt", "TXT")</f>
        <v/>
      </c>
    </row>
    <row r="2781">
      <c r="A2781" s="1" t="n">
        <v>2779</v>
      </c>
      <c r="B2781" t="n">
        <v>2015</v>
      </c>
      <c r="C2781" s="2" t="n">
        <v>42345.01944444444</v>
      </c>
      <c r="D2781" t="inlineStr">
        <is>
          <t>G1</t>
        </is>
      </c>
      <c r="E2781" t="inlineStr">
        <is>
          <t>VENEZUELANOS</t>
        </is>
      </c>
      <c r="F2781" t="inlineStr"/>
      <c r="G2781" t="inlineStr">
        <is>
          <t>RANCE PRESSE</t>
        </is>
      </c>
      <c r="H2781" t="inlineStr">
        <is>
          <t>UNASUL RELATA NORMALIDADE EM ELEIÇÃO VENEZUELANA EM REGIÕES  FRONTEIRIÇAS</t>
        </is>
      </c>
      <c r="I2781" t="inlineStr"/>
      <c r="J2781">
        <f>HYPERLINK("http://g1.globo.com/mundo/noticia/2015/12/unasul-relata-normalidade-em-eleicao-venezuelana-em-regioes-fronteiricas.html", "URL")</f>
        <v/>
      </c>
      <c r="K2781">
        <f>HYPERLINK("https://raw.githubusercontent.com/marcosmapl/dataset_imigrantes/main/noticias_filtered/g1/venezuelanos/2015/11_dez/html/g1_300186ca-2316-11ed-b24f-6dbe51e79fca_3131.html", "HTML")</f>
        <v/>
      </c>
      <c r="L2781">
        <f>HYPERLINK("https://raw.githubusercontent.com/marcosmapl/dataset_imigrantes/main/noticias_filtered/g1/venezuelanos/2015/11_dez/txt/g1_300186ca-2316-11ed-b24f-6dbe51e79fca_3131.txt", "TXT")</f>
        <v/>
      </c>
    </row>
    <row r="2782">
      <c r="A2782" s="1" t="n">
        <v>2780</v>
      </c>
      <c r="B2782" t="n">
        <v>2015</v>
      </c>
      <c r="C2782" s="2" t="n">
        <v>42343.49305555555</v>
      </c>
      <c r="D2782" t="inlineStr">
        <is>
          <t>G1</t>
        </is>
      </c>
      <c r="E2782" t="inlineStr">
        <is>
          <t>HAITIANOS</t>
        </is>
      </c>
      <c r="F2782" t="inlineStr"/>
      <c r="G2782" t="inlineStr">
        <is>
          <t>1 REGIÃO DOS LAGOS</t>
        </is>
      </c>
      <c r="H2782" t="inlineStr">
        <is>
          <t>ONG VAI FAZER O CADASTRO DE HAITIANOS EM MARICÁ, RJ, NESTE SÁBADO</t>
        </is>
      </c>
      <c r="I2782" t="inlineStr"/>
      <c r="J2782">
        <f>HYPERLINK("http://g1.globo.com/rj/regiao-dos-lagos/noticia/2015/12/ong-vai-fazer-o-cadastro-de-haitianos-em-marica-rj-neste-sabado.html", "URL")</f>
        <v/>
      </c>
      <c r="K2782">
        <f>HYPERLINK("https://raw.githubusercontent.com/marcosmapl/dataset_imigrantes/main/noticias_filtered/g1/haitianos/2015/11_dez/html/g1_3e5c5182-22f8-11ed-b24f-6dbe51e79fca_2124.html", "HTML")</f>
        <v/>
      </c>
      <c r="L2782">
        <f>HYPERLINK("https://raw.githubusercontent.com/marcosmapl/dataset_imigrantes/main/noticias_filtered/g1/haitianos/2015/11_dez/txt/g1_3e5c5182-22f8-11ed-b24f-6dbe51e79fca_2124.txt", "TXT")</f>
        <v/>
      </c>
    </row>
    <row r="2783">
      <c r="A2783" s="1" t="n">
        <v>2781</v>
      </c>
      <c r="B2783" t="n">
        <v>2015</v>
      </c>
      <c r="C2783" s="2" t="n">
        <v>42339.53611111111</v>
      </c>
      <c r="D2783" t="inlineStr">
        <is>
          <t>G1</t>
        </is>
      </c>
      <c r="E2783" t="inlineStr">
        <is>
          <t>HAITIANOS</t>
        </is>
      </c>
      <c r="F2783" t="inlineStr"/>
      <c r="G2783" t="inlineStr">
        <is>
          <t>1 MT</t>
        </is>
      </c>
      <c r="H2783" t="inlineStr">
        <is>
          <t>HAITIANO FICA PARAPLÉGICO APÓS LEVAR TIRO NA FRENTE DE CASA EM CUIABÁ</t>
        </is>
      </c>
      <c r="I2783" t="inlineStr"/>
      <c r="J2783">
        <f>HYPERLINK("http://g1.globo.com/mato-grosso/noticia/2015/12/haitiano-baleado-fica-paraplegico-e-perde-movimento-da-mao-em-cuiaba.html", "URL")</f>
        <v/>
      </c>
      <c r="K2783">
        <f>HYPERLINK("https://raw.githubusercontent.com/marcosmapl/dataset_imigrantes/main/noticias_filtered/g1/haitianos/2015/11_dez/html/g1_be0b6484-2309-11ed-b24f-6dbe51e79fca_2460.html", "HTML")</f>
        <v/>
      </c>
      <c r="L2783">
        <f>HYPERLINK("https://raw.githubusercontent.com/marcosmapl/dataset_imigrantes/main/noticias_filtered/g1/haitianos/2015/11_dez/txt/g1_be0b6484-2309-11ed-b24f-6dbe51e79fca_2460.txt", "TXT")</f>
        <v/>
      </c>
    </row>
    <row r="2784">
      <c r="A2784" s="1" t="n">
        <v>2782</v>
      </c>
      <c r="B2784" t="n">
        <v>2015</v>
      </c>
      <c r="C2784" s="2" t="n">
        <v>42337.45763888889</v>
      </c>
      <c r="D2784" t="inlineStr">
        <is>
          <t>G1</t>
        </is>
      </c>
      <c r="E2784" t="inlineStr">
        <is>
          <t>HAITIANOS</t>
        </is>
      </c>
      <c r="F2784" t="inlineStr"/>
      <c r="G2784" t="inlineStr">
        <is>
          <t>A RESENDEDO G1 GO</t>
        </is>
      </c>
      <c r="H2784" t="inlineStr">
        <is>
          <t>HAITIANO MORRE APÓS SER ATINGIDO POR GOLPES DE FACA, EM GOIÂNIA</t>
        </is>
      </c>
      <c r="I2784" t="inlineStr"/>
      <c r="J2784">
        <f>HYPERLINK("http://g1.globo.com/goias/noticia/2015/11/haitiano-morre-apos-ser-atingido-por-golpes-de-faca-em-goiania.html", "URL")</f>
        <v/>
      </c>
      <c r="K2784">
        <f>HYPERLINK("https://raw.githubusercontent.com/marcosmapl/dataset_imigrantes/main/noticias_filtered/g1/haitianos/2015/10_nov/html/g1_8082cce8-2321-11ed-b24f-6dbe51e79fca_3704.html", "HTML")</f>
        <v/>
      </c>
      <c r="L2784">
        <f>HYPERLINK("https://raw.githubusercontent.com/marcosmapl/dataset_imigrantes/main/noticias_filtered/g1/haitianos/2015/10_nov/txt/g1_8082cce8-2321-11ed-b24f-6dbe51e79fca_3704.txt", "TXT")</f>
        <v/>
      </c>
    </row>
    <row r="2785">
      <c r="A2785" s="1" t="n">
        <v>2783</v>
      </c>
      <c r="B2785" t="n">
        <v>2015</v>
      </c>
      <c r="C2785" s="2" t="n">
        <v>42332.91666666666</v>
      </c>
      <c r="D2785" t="inlineStr">
        <is>
          <t>G1</t>
        </is>
      </c>
      <c r="E2785" t="inlineStr">
        <is>
          <t>HAITIANOS</t>
        </is>
      </c>
      <c r="F2785" t="inlineStr"/>
      <c r="G2785" t="inlineStr">
        <is>
          <t>1 RO</t>
        </is>
      </c>
      <c r="H2785" t="inlineStr">
        <is>
          <t>PALESTRA SOBRE SAÚDE MENTAL E EXIBIÇÃO DE CURTA ACONTECERÁ EM RO</t>
        </is>
      </c>
      <c r="I2785" t="inlineStr"/>
      <c r="J2785">
        <f>HYPERLINK("http://g1.globo.com/ro/rondonia/noticia/2015/11/palestra-sobre-saude-mental-e-exibicao-de-curta-acontecera-em-ro.html", "URL")</f>
        <v/>
      </c>
      <c r="K2785">
        <f>HYPERLINK("https://raw.githubusercontent.com/marcosmapl/dataset_imigrantes/main/noticias_filtered/g1/haitianos/2015/10_nov/html/g1_fcf3963a-230e-11ed-b24f-6dbe51e79fca_2771.html", "HTML")</f>
        <v/>
      </c>
      <c r="L2785">
        <f>HYPERLINK("https://raw.githubusercontent.com/marcosmapl/dataset_imigrantes/main/noticias_filtered/g1/haitianos/2015/10_nov/txt/g1_fcf3963a-230e-11ed-b24f-6dbe51e79fca_2771.txt", "TXT")</f>
        <v/>
      </c>
    </row>
    <row r="2786">
      <c r="A2786" s="1" t="n">
        <v>2784</v>
      </c>
      <c r="B2786" t="n">
        <v>2015</v>
      </c>
      <c r="C2786" s="2" t="n">
        <v>42331.77083333334</v>
      </c>
      <c r="D2786" t="inlineStr">
        <is>
          <t>G1</t>
        </is>
      </c>
      <c r="E2786" t="inlineStr">
        <is>
          <t>HAITIANOS</t>
        </is>
      </c>
      <c r="F2786" t="inlineStr"/>
      <c r="G2786" t="inlineStr">
        <is>
          <t>1 MT</t>
        </is>
      </c>
      <c r="H2786" t="inlineStr">
        <is>
          <t>MOTOCICLISTA ATIRA CONTRA GRUPO DE HAITIANOS E FERE UM EM CUIABÁ</t>
        </is>
      </c>
      <c r="I2786" t="inlineStr"/>
      <c r="J2786">
        <f>HYPERLINK("http://g1.globo.com/mato-grosso/noticia/2015/11/motociclista-atira-contra-grupo-de-haitianos-e-fere-um-em-cuiaba.html", "URL")</f>
        <v/>
      </c>
      <c r="K2786">
        <f>HYPERLINK("https://raw.githubusercontent.com/marcosmapl/dataset_imigrantes/main/noticias_filtered/g1/haitianos/2015/10_nov/html/g1_bbcbfc24-22f0-11ed-b24f-6dbe51e79fca_1718.html", "HTML")</f>
        <v/>
      </c>
      <c r="L2786">
        <f>HYPERLINK("https://raw.githubusercontent.com/marcosmapl/dataset_imigrantes/main/noticias_filtered/g1/haitianos/2015/10_nov/txt/g1_bbcbfc24-22f0-11ed-b24f-6dbe51e79fca_1718.txt", "TXT")</f>
        <v/>
      </c>
    </row>
    <row r="2787">
      <c r="A2787" s="1" t="n">
        <v>2785</v>
      </c>
      <c r="B2787" t="n">
        <v>2015</v>
      </c>
      <c r="C2787" s="2" t="n">
        <v>42328.29166666666</v>
      </c>
      <c r="D2787" t="inlineStr">
        <is>
          <t>G1</t>
        </is>
      </c>
      <c r="E2787" t="inlineStr">
        <is>
          <t>HAITIANOS</t>
        </is>
      </c>
      <c r="F2787" t="inlineStr"/>
      <c r="G2787" t="inlineStr">
        <is>
          <t>DRO TAPAJÓSDO G1 AM*</t>
        </is>
      </c>
      <c r="H2787" t="inlineStr">
        <is>
          <t>'CONSCIÊNCIA NEGRA DEVE LEMBRAR DO HAITIANO DISCRIMINADO', DIZ SOCIÓLOGO</t>
        </is>
      </c>
      <c r="I2787" t="inlineStr"/>
      <c r="J2787">
        <f>HYPERLINK("http://g1.globo.com/am/amazonas/noticia/2015/11/consciencia-negra-deve-lembrar-do-haitiano-discriminado-diz-sociologo.html", "URL")</f>
        <v/>
      </c>
      <c r="K2787">
        <f>HYPERLINK("https://raw.githubusercontent.com/marcosmapl/dataset_imigrantes/main/noticias_filtered/g1/haitianos/2015/10_nov/html/g1_b14c322a-2307-11ed-b24f-6dbe51e79fca_2335.html", "HTML")</f>
        <v/>
      </c>
      <c r="L2787">
        <f>HYPERLINK("https://raw.githubusercontent.com/marcosmapl/dataset_imigrantes/main/noticias_filtered/g1/haitianos/2015/10_nov/txt/g1_b14c322a-2307-11ed-b24f-6dbe51e79fca_2335.txt", "TXT")</f>
        <v/>
      </c>
    </row>
    <row r="2788">
      <c r="A2788" s="1" t="n">
        <v>2786</v>
      </c>
      <c r="B2788" t="n">
        <v>2015</v>
      </c>
      <c r="C2788" s="2" t="n">
        <v>42326.6875</v>
      </c>
      <c r="D2788" t="inlineStr">
        <is>
          <t>G1</t>
        </is>
      </c>
      <c r="E2788" t="inlineStr">
        <is>
          <t>HAITIANOS</t>
        </is>
      </c>
      <c r="F2788" t="inlineStr"/>
      <c r="G2788" t="inlineStr">
        <is>
          <t>1 PR</t>
        </is>
      </c>
      <c r="H2788" t="inlineStr">
        <is>
          <t>MPT ENCONTRA HAITIANOS VIVENDO EM SITUAÇÃO PRECÁRIA EM UMUARAMA</t>
        </is>
      </c>
      <c r="I2788" t="inlineStr"/>
      <c r="J2788">
        <f>HYPERLINK("http://g1.globo.com/pr/norte-noroeste/noticia/2015/11/mpt-encontra-haitianos-vivendo-em-situacao-precaria-em-umuarama.html", "URL")</f>
        <v/>
      </c>
      <c r="K2788">
        <f>HYPERLINK("https://raw.githubusercontent.com/marcosmapl/dataset_imigrantes/main/noticias_filtered/g1/haitianos/2015/10_nov/html/g1_098e44fe-22f5-11ed-b24f-6dbe51e79fca_1927.html", "HTML")</f>
        <v/>
      </c>
      <c r="L2788">
        <f>HYPERLINK("https://raw.githubusercontent.com/marcosmapl/dataset_imigrantes/main/noticias_filtered/g1/haitianos/2015/10_nov/txt/g1_098e44fe-22f5-11ed-b24f-6dbe51e79fca_1927.txt", "TXT")</f>
        <v/>
      </c>
    </row>
    <row r="2789">
      <c r="A2789" s="1" t="n">
        <v>2787</v>
      </c>
      <c r="B2789" t="n">
        <v>2015</v>
      </c>
      <c r="C2789" s="2" t="n">
        <v>42325.87083333333</v>
      </c>
      <c r="D2789" t="inlineStr">
        <is>
          <t>G1</t>
        </is>
      </c>
      <c r="E2789" t="inlineStr">
        <is>
          <t>VENEZUELANOS</t>
        </is>
      </c>
      <c r="F2789" t="inlineStr"/>
      <c r="G2789" t="inlineStr">
        <is>
          <t>FP</t>
        </is>
      </c>
      <c r="H2789" t="inlineStr">
        <is>
          <t>AUDIÊNCIA DE SOBRINHOS DA PRIMEIRA DAMA VENEZUELANA É ADIADA NOS EUA</t>
        </is>
      </c>
      <c r="I2789" t="inlineStr"/>
      <c r="J2789">
        <f>HYPERLINK("http://g1.globo.com/mundo/noticia/2015/11/audiencia-de-sobrinhos-da-primeira-dama-venezuelana-e-adiada-nos-eua.html", "URL")</f>
        <v/>
      </c>
      <c r="K2789">
        <f>HYPERLINK("https://raw.githubusercontent.com/marcosmapl/dataset_imigrantes/main/noticias_filtered/g1/venezuelanos/2015/10_nov/html/g1_ee7fb8dc-2321-11ed-b24f-6dbe51e79fca_3725.html", "HTML")</f>
        <v/>
      </c>
      <c r="L2789">
        <f>HYPERLINK("https://raw.githubusercontent.com/marcosmapl/dataset_imigrantes/main/noticias_filtered/g1/venezuelanos/2015/10_nov/txt/g1_ee7fb8dc-2321-11ed-b24f-6dbe51e79fca_3725.txt", "TXT")</f>
        <v/>
      </c>
    </row>
    <row r="2790">
      <c r="A2790" s="1" t="n">
        <v>2788</v>
      </c>
      <c r="B2790" t="n">
        <v>2015</v>
      </c>
      <c r="C2790" s="2" t="n">
        <v>42319.71319444444</v>
      </c>
      <c r="D2790" t="inlineStr">
        <is>
          <t>G1</t>
        </is>
      </c>
      <c r="E2790" t="inlineStr">
        <is>
          <t>HAITIANOS</t>
        </is>
      </c>
      <c r="F2790" t="inlineStr"/>
      <c r="G2790" t="inlineStr">
        <is>
          <t>1 DF</t>
        </is>
      </c>
      <c r="H2790" t="inlineStr">
        <is>
          <t>BRASIL AUTORIZA PERMANÊNCIA DEFINITIVA A 44 MIL REFUGIADOS HAITIANOS</t>
        </is>
      </c>
      <c r="I2790" t="inlineStr"/>
      <c r="J2790">
        <f>HYPERLINK("http://g1.globo.com/distrito-federal/noticia/2015/11/brasil-autoriza-permanencia-definitiva-44-mil-refugiados-haitianos.html", "URL")</f>
        <v/>
      </c>
      <c r="K2790">
        <f>HYPERLINK("https://raw.githubusercontent.com/marcosmapl/dataset_imigrantes/main/noticias_filtered/g1/haitianos/2015/10_nov/html/g1_b46f8e48-22f8-11ed-b24f-6dbe51e79fca_2152.html", "HTML")</f>
        <v/>
      </c>
      <c r="L2790">
        <f>HYPERLINK("https://raw.githubusercontent.com/marcosmapl/dataset_imigrantes/main/noticias_filtered/g1/haitianos/2015/10_nov/txt/g1_b46f8e48-22f8-11ed-b24f-6dbe51e79fca_2152.txt", "TXT")</f>
        <v/>
      </c>
    </row>
    <row r="2791">
      <c r="A2791" s="1" t="n">
        <v>2789</v>
      </c>
      <c r="B2791" t="n">
        <v>2015</v>
      </c>
      <c r="C2791" s="2" t="n">
        <v>42318.88541666666</v>
      </c>
      <c r="D2791" t="inlineStr">
        <is>
          <t>G1</t>
        </is>
      </c>
      <c r="E2791" t="inlineStr">
        <is>
          <t>VENEZUELANOS</t>
        </is>
      </c>
      <c r="F2791" t="inlineStr"/>
      <c r="G2791" t="inlineStr">
        <is>
          <t>FP</t>
        </is>
      </c>
      <c r="H2791" t="inlineStr">
        <is>
          <t>OPOSIÇÃO VENEZUELANA DIZ QUE BUSCARÁ SAÍDA DE MADURO EM 2016</t>
        </is>
      </c>
      <c r="I2791" t="inlineStr"/>
      <c r="J2791">
        <f>HYPERLINK("http://g1.globo.com/mundo/noticia/2015/11/oposicao-venezuelana-diz-que-buscara-saida-de-maduro-em-2016.html", "URL")</f>
        <v/>
      </c>
      <c r="K2791">
        <f>HYPERLINK("https://raw.githubusercontent.com/marcosmapl/dataset_imigrantes/main/noticias_filtered/g1/venezuelanos/2015/10_nov/html/g1_5f22b85c-230c-11ed-b24f-6dbe51e79fca_2620.html", "HTML")</f>
        <v/>
      </c>
      <c r="L2791">
        <f>HYPERLINK("https://raw.githubusercontent.com/marcosmapl/dataset_imigrantes/main/noticias_filtered/g1/venezuelanos/2015/10_nov/txt/g1_5f22b85c-230c-11ed-b24f-6dbe51e79fca_2620.txt", "TXT")</f>
        <v/>
      </c>
    </row>
    <row r="2792">
      <c r="A2792" s="1" t="n">
        <v>2790</v>
      </c>
      <c r="B2792" t="n">
        <v>2015</v>
      </c>
      <c r="C2792" s="2" t="n">
        <v>42316.28472222222</v>
      </c>
      <c r="D2792" t="inlineStr">
        <is>
          <t>G1</t>
        </is>
      </c>
      <c r="E2792" t="inlineStr">
        <is>
          <t>HAITIANOS</t>
        </is>
      </c>
      <c r="F2792" t="inlineStr"/>
      <c r="G2792" t="inlineStr">
        <is>
          <t>1 SC</t>
        </is>
      </c>
      <c r="H2792" t="inlineStr">
        <is>
          <t>HAITIANOS FAZEM PROGRAMA DE RÁDIO EM FRANCÊS E CRIOULO NO LITORAL DE SC</t>
        </is>
      </c>
      <c r="I2792" t="inlineStr"/>
      <c r="J2792">
        <f>HYPERLINK("http://g1.globo.com/sc/santa-catarina/noticia/2015/11/haitianos-fazem-programa-de-radio-em-frances-e-crioulo-no-litoral-de-sc.html", "URL")</f>
        <v/>
      </c>
      <c r="K2792">
        <f>HYPERLINK("https://raw.githubusercontent.com/marcosmapl/dataset_imigrantes/main/noticias_filtered/g1/haitianos/2015/10_nov/html/g1_2ac22f2a-22f3-11ed-b24f-6dbe51e79fca_1827.html", "HTML")</f>
        <v/>
      </c>
      <c r="L2792">
        <f>HYPERLINK("https://raw.githubusercontent.com/marcosmapl/dataset_imigrantes/main/noticias_filtered/g1/haitianos/2015/10_nov/txt/g1_2ac22f2a-22f3-11ed-b24f-6dbe51e79fca_1827.txt", "TXT")</f>
        <v/>
      </c>
    </row>
    <row r="2793">
      <c r="A2793" s="1" t="n">
        <v>2791</v>
      </c>
      <c r="B2793" t="n">
        <v>2015</v>
      </c>
      <c r="C2793" s="2" t="n">
        <v>42313.45625</v>
      </c>
      <c r="D2793" t="inlineStr">
        <is>
          <t>G1</t>
        </is>
      </c>
      <c r="E2793" t="inlineStr">
        <is>
          <t>VENEZUELANOS</t>
        </is>
      </c>
      <c r="F2793" t="inlineStr"/>
      <c r="G2793" t="inlineStr">
        <is>
          <t>FE</t>
        </is>
      </c>
      <c r="H2793" t="inlineStr">
        <is>
          <t>VENEZUELANA VENCE CONCURSO MISS INTERNACIONAL 2015</t>
        </is>
      </c>
      <c r="I2793" t="inlineStr"/>
      <c r="J2793">
        <f>HYPERLINK("http://g1.globo.com/mundo/noticia/2015/11/venezuelana-vence-concurso-miss-internacional-2015.html", "URL")</f>
        <v/>
      </c>
      <c r="K2793">
        <f>HYPERLINK("https://raw.githubusercontent.com/marcosmapl/dataset_imigrantes/main/noticias_filtered/g1/venezuelanos/2015/10_nov/html/g1_a188fd46-230c-11ed-b24f-6dbe51e79fca_2637.html", "HTML")</f>
        <v/>
      </c>
      <c r="L2793">
        <f>HYPERLINK("https://raw.githubusercontent.com/marcosmapl/dataset_imigrantes/main/noticias_filtered/g1/venezuelanos/2015/10_nov/txt/g1_a188fd46-230c-11ed-b24f-6dbe51e79fca_2637.txt", "TXT")</f>
        <v/>
      </c>
    </row>
    <row r="2794">
      <c r="A2794" s="1" t="n">
        <v>2792</v>
      </c>
      <c r="B2794" t="n">
        <v>2015</v>
      </c>
      <c r="C2794" s="2" t="n">
        <v>42312.59236111111</v>
      </c>
      <c r="D2794" t="inlineStr">
        <is>
          <t>G1</t>
        </is>
      </c>
      <c r="E2794" t="inlineStr">
        <is>
          <t>VENEZUELANOS</t>
        </is>
      </c>
      <c r="F2794" t="inlineStr"/>
      <c r="G2794" t="inlineStr">
        <is>
          <t>1 SOROCABA E JUNDIAÍ</t>
        </is>
      </c>
      <c r="H2794" t="inlineStr">
        <is>
          <t>VENEZUELANAS SÃO PRESAS COM QUASE 15 QUILOS DE COCAÍNA EM ITU</t>
        </is>
      </c>
      <c r="I2794" t="inlineStr"/>
      <c r="J2794">
        <f>HYPERLINK("http://g1.globo.com/sao-paulo/sorocaba-jundiai/noticia/2015/11/venezuelanas-sao-presas-com-quase-15-quilos-de-cocaina-em-itu.html", "URL")</f>
        <v/>
      </c>
      <c r="K2794">
        <f>HYPERLINK("https://raw.githubusercontent.com/marcosmapl/dataset_imigrantes/main/noticias_filtered/g1/venezuelanos/2015/10_nov/html/g1_3486aea8-230e-11ed-b24f-6dbe51e79fca_2728.html", "HTML")</f>
        <v/>
      </c>
      <c r="L2794">
        <f>HYPERLINK("https://raw.githubusercontent.com/marcosmapl/dataset_imigrantes/main/noticias_filtered/g1/venezuelanos/2015/10_nov/txt/g1_3486aea8-230e-11ed-b24f-6dbe51e79fca_2728.txt", "TXT")</f>
        <v/>
      </c>
    </row>
    <row r="2795">
      <c r="A2795" s="1" t="n">
        <v>2793</v>
      </c>
      <c r="B2795" t="n">
        <v>2015</v>
      </c>
      <c r="C2795" s="2" t="n">
        <v>42307.47152777778</v>
      </c>
      <c r="D2795" t="inlineStr">
        <is>
          <t>G1</t>
        </is>
      </c>
      <c r="E2795" t="inlineStr">
        <is>
          <t>HAITIANOS</t>
        </is>
      </c>
      <c r="F2795" t="inlineStr"/>
      <c r="G2795" t="inlineStr">
        <is>
          <t>1 RS</t>
        </is>
      </c>
      <c r="H2795" t="inlineStr">
        <is>
          <t>HAITIANO DEVOLVE CALÇAS QUE RECEBEU DE VOLUNTÁRIO POR ENGANO NO RS</t>
        </is>
      </c>
      <c r="I2795" t="inlineStr"/>
      <c r="J2795">
        <f>HYPERLINK("http://g1.globo.com/rs/rio-grande-do-sul/noticia/2015/10/haitiano-devolve-calcas-que-recebeu-de-voluntario-por-engano-no-rs.html", "URL")</f>
        <v/>
      </c>
      <c r="K2795">
        <f>HYPERLINK("https://raw.githubusercontent.com/marcosmapl/dataset_imigrantes/main/noticias_filtered/g1/haitianos/2015/09_out/html/g1_7d5f5618-2307-11ed-b24f-6dbe51e79fca_2321.html", "HTML")</f>
        <v/>
      </c>
      <c r="L2795">
        <f>HYPERLINK("https://raw.githubusercontent.com/marcosmapl/dataset_imigrantes/main/noticias_filtered/g1/haitianos/2015/09_out/txt/g1_7d5f5618-2307-11ed-b24f-6dbe51e79fca_2321.txt", "TXT")</f>
        <v/>
      </c>
    </row>
    <row r="2796">
      <c r="A2796" s="1" t="n">
        <v>2794</v>
      </c>
      <c r="B2796" t="n">
        <v>2015</v>
      </c>
      <c r="C2796" s="2" t="n">
        <v>42304.52152777778</v>
      </c>
      <c r="D2796" t="inlineStr">
        <is>
          <t>G1</t>
        </is>
      </c>
      <c r="E2796" t="inlineStr">
        <is>
          <t>HAITIANOS</t>
        </is>
      </c>
      <c r="F2796" t="inlineStr"/>
      <c r="G2796" t="inlineStr">
        <is>
          <t>1 RO</t>
        </is>
      </c>
      <c r="H2796" t="inlineStr">
        <is>
          <t>HAITIANO É PRESO APÓS AGREDIR DOIS IDOSOS NA ZONA NORTE DE PORTO VELHO</t>
        </is>
      </c>
      <c r="I2796" t="inlineStr"/>
      <c r="J2796">
        <f>HYPERLINK("http://g1.globo.com/ro/rondonia/noticia/2015/10/haitiano-e-preso-apos-agredir-dois-idosos-em-uma-casa-de-porto-velho.html", "URL")</f>
        <v/>
      </c>
      <c r="K2796">
        <f>HYPERLINK("https://raw.githubusercontent.com/marcosmapl/dataset_imigrantes/main/noticias_filtered/g1/haitianos/2015/09_out/html/g1_46cce15c-231f-11ed-b24f-6dbe51e79fca_3613.html", "HTML")</f>
        <v/>
      </c>
      <c r="L2796">
        <f>HYPERLINK("https://raw.githubusercontent.com/marcosmapl/dataset_imigrantes/main/noticias_filtered/g1/haitianos/2015/09_out/txt/g1_46cce15c-231f-11ed-b24f-6dbe51e79fca_3613.txt", "TXT")</f>
        <v/>
      </c>
    </row>
    <row r="2797">
      <c r="A2797" s="1" t="n">
        <v>2795</v>
      </c>
      <c r="B2797" t="n">
        <v>2015</v>
      </c>
      <c r="C2797" s="2" t="n">
        <v>42303.95277777778</v>
      </c>
      <c r="D2797" t="inlineStr">
        <is>
          <t>G1</t>
        </is>
      </c>
      <c r="E2797" t="inlineStr">
        <is>
          <t>HAITIANOS</t>
        </is>
      </c>
      <c r="F2797" t="inlineStr"/>
      <c r="G2797" t="inlineStr">
        <is>
          <t>1 RS</t>
        </is>
      </c>
      <c r="H2797" t="inlineStr">
        <is>
          <t>PROFESSORES REALIZAM PROJETO PARA ENSINAR PORTUGUÊS A HAITIANOS NO RS</t>
        </is>
      </c>
      <c r="I2797" t="inlineStr"/>
      <c r="J2797">
        <f>HYPERLINK("http://g1.globo.com/rs/rio-grande-do-sul/noticia/2015/10/professores-realizam-projeto-para-ensinar-portugues-haitianos-no-rs.html", "URL")</f>
        <v/>
      </c>
      <c r="K2797">
        <f>HYPERLINK("https://raw.githubusercontent.com/marcosmapl/dataset_imigrantes/main/noticias_filtered/g1/haitianos/2015/09_out/html/g1_55e8dcf8-22f3-11ed-b24f-6dbe51e79fca_1836.html", "HTML")</f>
        <v/>
      </c>
      <c r="L2797">
        <f>HYPERLINK("https://raw.githubusercontent.com/marcosmapl/dataset_imigrantes/main/noticias_filtered/g1/haitianos/2015/09_out/txt/g1_55e8dcf8-22f3-11ed-b24f-6dbe51e79fca_1836.txt", "TXT")</f>
        <v/>
      </c>
    </row>
    <row r="2798">
      <c r="A2798" s="1" t="n">
        <v>2796</v>
      </c>
      <c r="B2798" t="n">
        <v>2015</v>
      </c>
      <c r="C2798" s="2" t="n">
        <v>42301.42638888889</v>
      </c>
      <c r="D2798" t="inlineStr">
        <is>
          <t>G1</t>
        </is>
      </c>
      <c r="E2798" t="inlineStr">
        <is>
          <t>HAITIANOS</t>
        </is>
      </c>
      <c r="F2798" t="inlineStr"/>
      <c r="G2798" t="inlineStr">
        <is>
          <t>1 SC</t>
        </is>
      </c>
      <c r="H2798" t="inlineStr">
        <is>
          <t>HAITIANO É MORTO E AS NOTÍCIAS MAIS LIDAS DA SEMANA NO G1 SC</t>
        </is>
      </c>
      <c r="I2798" t="inlineStr"/>
      <c r="J2798">
        <f>HYPERLINK("http://g1.globo.com/sc/santa-catarina/noticia/2015/10/haitiano-e-morto-e-noticias-mais-lidas-da-semana-no-g1-sc.html", "URL")</f>
        <v/>
      </c>
      <c r="K2798">
        <f>HYPERLINK("https://raw.githubusercontent.com/marcosmapl/dataset_imigrantes/main/noticias_filtered/g1/haitianos/2015/09_out/html/g1_102df5d6-2311-11ed-b24f-6dbe51e79fca_2895.html", "HTML")</f>
        <v/>
      </c>
      <c r="L2798">
        <f>HYPERLINK("https://raw.githubusercontent.com/marcosmapl/dataset_imigrantes/main/noticias_filtered/g1/haitianos/2015/09_out/txt/g1_102df5d6-2311-11ed-b24f-6dbe51e79fca_2895.txt", "TXT")</f>
        <v/>
      </c>
    </row>
    <row r="2799">
      <c r="A2799" s="1" t="n">
        <v>2797</v>
      </c>
      <c r="B2799" t="n">
        <v>2015</v>
      </c>
      <c r="C2799" s="2" t="n">
        <v>42300.90833333333</v>
      </c>
      <c r="D2799" t="inlineStr">
        <is>
          <t>G1</t>
        </is>
      </c>
      <c r="E2799" t="inlineStr">
        <is>
          <t>HAITIANOS</t>
        </is>
      </c>
      <c r="F2799" t="inlineStr"/>
      <c r="G2799" t="inlineStr">
        <is>
          <t>1 SC</t>
        </is>
      </c>
      <c r="H2799" t="inlineStr">
        <is>
          <t>HAITIANO MORTO EM SC É ENTERRADO EM NAVEGANTES NESTA SEXTA</t>
        </is>
      </c>
      <c r="I2799" t="inlineStr"/>
      <c r="J2799">
        <f>HYPERLINK("http://g1.globo.com/sc/santa-catarina/noticia/2015/10/haitiano-morto-em-sc-e-enterrado-em-navegantes-nesta-sexta.html", "URL")</f>
        <v/>
      </c>
      <c r="K2799">
        <f>HYPERLINK("https://raw.githubusercontent.com/marcosmapl/dataset_imigrantes/main/noticias_filtered/g1/haitianos/2015/09_out/html/g1_6c3406d2-231f-11ed-b24f-6dbe51e79fca_3621.html", "HTML")</f>
        <v/>
      </c>
      <c r="L2799">
        <f>HYPERLINK("https://raw.githubusercontent.com/marcosmapl/dataset_imigrantes/main/noticias_filtered/g1/haitianos/2015/09_out/txt/g1_6c3406d2-231f-11ed-b24f-6dbe51e79fca_3621.txt", "TXT")</f>
        <v/>
      </c>
    </row>
    <row r="2800">
      <c r="A2800" s="1" t="n">
        <v>2798</v>
      </c>
      <c r="B2800" t="n">
        <v>2015</v>
      </c>
      <c r="C2800" s="2" t="n">
        <v>42300.74305555555</v>
      </c>
      <c r="D2800" t="inlineStr">
        <is>
          <t>G1</t>
        </is>
      </c>
      <c r="E2800" t="inlineStr">
        <is>
          <t>HAITIANOS</t>
        </is>
      </c>
      <c r="F2800" t="inlineStr"/>
      <c r="G2800" t="inlineStr">
        <is>
          <t>1 MT</t>
        </is>
      </c>
      <c r="H2800" t="inlineStr">
        <is>
          <t>'FAREI PROVA COM A ALMA', DIZ HAITIANO QUE FARÁ O ENEM PELA 1ª VEZ EM MT</t>
        </is>
      </c>
      <c r="I2800" t="inlineStr"/>
      <c r="J2800">
        <f>HYPERLINK("http://g1.globo.com/mato-grosso/noticia/2015/10/farei-prova-com-alma-diz-haitiano-que-fara-o-enem-pela-1-vez-em-mt.html", "URL")</f>
        <v/>
      </c>
      <c r="K2800">
        <f>HYPERLINK("https://raw.githubusercontent.com/marcosmapl/dataset_imigrantes/main/noticias_filtered/g1/haitianos/2015/09_out/html/g1_e09e75fc-231f-11ed-b24f-6dbe51e79fca_3649.html", "HTML")</f>
        <v/>
      </c>
      <c r="L2800">
        <f>HYPERLINK("https://raw.githubusercontent.com/marcosmapl/dataset_imigrantes/main/noticias_filtered/g1/haitianos/2015/09_out/txt/g1_e09e75fc-231f-11ed-b24f-6dbe51e79fca_3649.txt", "TXT")</f>
        <v/>
      </c>
    </row>
    <row r="2801">
      <c r="A2801" s="1" t="n">
        <v>2799</v>
      </c>
      <c r="B2801" t="n">
        <v>2015</v>
      </c>
      <c r="C2801" s="2" t="n">
        <v>42300.47013888889</v>
      </c>
      <c r="D2801" t="inlineStr">
        <is>
          <t>G1</t>
        </is>
      </c>
      <c r="E2801" t="inlineStr">
        <is>
          <t>HAITIANOS</t>
        </is>
      </c>
      <c r="F2801" t="inlineStr"/>
      <c r="G2801" t="inlineStr">
        <is>
          <t>ANA DE ÁVILADO G1 SC</t>
        </is>
      </c>
      <c r="H2801" t="inlineStr">
        <is>
          <t>TRÊS DOS 4 MENORES SUSPEITOS DA MORTE DE HAITIANO SÃO APREENDIDOS</t>
        </is>
      </c>
      <c r="I2801" t="inlineStr"/>
      <c r="J2801">
        <f>HYPERLINK("http://g1.globo.com/sc/santa-catarina/noticia/2015/10/tres-dos-4-menores-suspeitos-da-morte-de-haitiano-sao-apreendidos.html", "URL")</f>
        <v/>
      </c>
      <c r="K2801">
        <f>HYPERLINK("https://raw.githubusercontent.com/marcosmapl/dataset_imigrantes/main/noticias_filtered/g1/haitianos/2015/09_out/html/g1_af126738-230f-11ed-b24f-6dbe51e79fca_2812.html", "HTML")</f>
        <v/>
      </c>
      <c r="L2801">
        <f>HYPERLINK("https://raw.githubusercontent.com/marcosmapl/dataset_imigrantes/main/noticias_filtered/g1/haitianos/2015/09_out/txt/g1_af126738-230f-11ed-b24f-6dbe51e79fca_2812.txt", "TXT")</f>
        <v/>
      </c>
    </row>
    <row r="2802">
      <c r="A2802" s="1" t="n">
        <v>2800</v>
      </c>
      <c r="B2802" t="n">
        <v>2015</v>
      </c>
      <c r="C2802" s="2" t="n">
        <v>42299.61666666667</v>
      </c>
      <c r="D2802" t="inlineStr">
        <is>
          <t>G1</t>
        </is>
      </c>
      <c r="E2802" t="inlineStr">
        <is>
          <t>HAITIANOS</t>
        </is>
      </c>
      <c r="F2802" t="inlineStr"/>
      <c r="G2802" t="inlineStr">
        <is>
          <t>ANA DE ÁVILADO G1 SC</t>
        </is>
      </c>
      <c r="H2802" t="inlineStr">
        <is>
          <t>JUSTIÇA DE SC MANDA APREENDER 4  ADOLESCENTES POR MORTE DE HAITIANO</t>
        </is>
      </c>
      <c r="I2802" t="inlineStr"/>
      <c r="J2802">
        <f>HYPERLINK("http://g1.globo.com/sc/santa-catarina/noticia/2015/10/justica-de-sc-manda-apreender-4-adolescentes-por-morte-de-haitiano.html", "URL")</f>
        <v/>
      </c>
      <c r="K2802">
        <f>HYPERLINK("https://raw.githubusercontent.com/marcosmapl/dataset_imigrantes/main/noticias_filtered/g1/haitianos/2015/09_out/html/g1_23ee596c-2311-11ed-b24f-6dbe51e79fca_2901.html", "HTML")</f>
        <v/>
      </c>
      <c r="L2802">
        <f>HYPERLINK("https://raw.githubusercontent.com/marcosmapl/dataset_imigrantes/main/noticias_filtered/g1/haitianos/2015/09_out/txt/g1_23ee596c-2311-11ed-b24f-6dbe51e79fca_2901.txt", "TXT")</f>
        <v/>
      </c>
    </row>
    <row r="2803">
      <c r="A2803" s="1" t="n">
        <v>2801</v>
      </c>
      <c r="B2803" t="n">
        <v>2015</v>
      </c>
      <c r="C2803" s="2" t="n">
        <v>42298.91666666666</v>
      </c>
      <c r="D2803" t="inlineStr">
        <is>
          <t>G1</t>
        </is>
      </c>
      <c r="E2803" t="inlineStr">
        <is>
          <t>HAITIANOS</t>
        </is>
      </c>
      <c r="F2803" t="inlineStr"/>
      <c r="G2803" t="inlineStr">
        <is>
          <t>1 SC</t>
        </is>
      </c>
      <c r="H2803" t="inlineStr">
        <is>
          <t>MENOR QUE CONFESSOU TER MATADO HAITIANO É SOLTO POR FALTA DE VAGAS</t>
        </is>
      </c>
      <c r="I2803" t="inlineStr"/>
      <c r="J2803">
        <f>HYPERLINK("http://g1.globo.com/sc/santa-catarina/noticia/2015/10/menor-que-confessou-ter-matado-haitiano-e-solto-por-falta-de-vagas.html", "URL")</f>
        <v/>
      </c>
      <c r="K2803">
        <f>HYPERLINK("https://raw.githubusercontent.com/marcosmapl/dataset_imigrantes/main/noticias_filtered/g1/haitianos/2015/09_out/html/g1_b6ab24f6-2325-11ed-b24f-6dbe51e79fca_3930.html", "HTML")</f>
        <v/>
      </c>
      <c r="L2803">
        <f>HYPERLINK("https://raw.githubusercontent.com/marcosmapl/dataset_imigrantes/main/noticias_filtered/g1/haitianos/2015/09_out/txt/g1_b6ab24f6-2325-11ed-b24f-6dbe51e79fca_3930.txt", "TXT")</f>
        <v/>
      </c>
    </row>
    <row r="2804">
      <c r="A2804" s="1" t="n">
        <v>2802</v>
      </c>
      <c r="B2804" t="n">
        <v>2015</v>
      </c>
      <c r="C2804" s="2" t="n">
        <v>42298.77777777778</v>
      </c>
      <c r="D2804" t="inlineStr">
        <is>
          <t>G1</t>
        </is>
      </c>
      <c r="E2804" t="inlineStr">
        <is>
          <t>HAITIANOS</t>
        </is>
      </c>
      <c r="F2804" t="inlineStr"/>
      <c r="G2804" t="inlineStr">
        <is>
          <t>1 SC</t>
        </is>
      </c>
      <c r="H2804" t="inlineStr">
        <is>
          <t>POLÍCIA CIVIL DETÉM 5 SUSPEITOS DE MORTE DE HAITIANO EM NAVEGANTES, SC</t>
        </is>
      </c>
      <c r="I2804" t="inlineStr"/>
      <c r="J2804">
        <f>HYPERLINK("http://g1.globo.com/sc/santa-catarina/noticia/2015/10/policia-civil-apreende-suspeitos-de-morte-de-haitiano-em-sc.html", "URL")</f>
        <v/>
      </c>
      <c r="K2804">
        <f>HYPERLINK("https://raw.githubusercontent.com/marcosmapl/dataset_imigrantes/main/noticias_filtered/g1/haitianos/2015/09_out/html/g1_93419c72-231e-11ed-b24f-6dbe51e79fca_3571.html", "HTML")</f>
        <v/>
      </c>
      <c r="L2804">
        <f>HYPERLINK("https://raw.githubusercontent.com/marcosmapl/dataset_imigrantes/main/noticias_filtered/g1/haitianos/2015/09_out/txt/g1_93419c72-231e-11ed-b24f-6dbe51e79fca_3571.txt", "TXT")</f>
        <v/>
      </c>
    </row>
    <row r="2805">
      <c r="A2805" s="1" t="n">
        <v>2803</v>
      </c>
      <c r="B2805" t="n">
        <v>2015</v>
      </c>
      <c r="C2805" s="2" t="n">
        <v>42298.625</v>
      </c>
      <c r="D2805" t="inlineStr">
        <is>
          <t>G1</t>
        </is>
      </c>
      <c r="E2805" t="inlineStr">
        <is>
          <t>HAITIANOS</t>
        </is>
      </c>
      <c r="F2805" t="inlineStr"/>
      <c r="G2805" t="inlineStr">
        <is>
          <t>ANA DE ÁVILADO G1 SC</t>
        </is>
      </c>
      <c r="H2805" t="inlineStr">
        <is>
          <t>CORPO DE HAITIANO MORTO EM SC É LIBERADO APÓS EMBAIXADA INTERVIR</t>
        </is>
      </c>
      <c r="I2805" t="inlineStr"/>
      <c r="J2805">
        <f>HYPERLINK("http://g1.globo.com/sc/santa-catarina/noticia/2015/10/corpo-de-haitiano-e-liberado-quatro-dias-apos-assassinato-em-sc.html", "URL")</f>
        <v/>
      </c>
      <c r="K2805">
        <f>HYPERLINK("https://raw.githubusercontent.com/marcosmapl/dataset_imigrantes/main/noticias_filtered/g1/haitianos/2015/09_out/html/g1_089d5662-2317-11ed-b24f-6dbe51e79fca_3184.html", "HTML")</f>
        <v/>
      </c>
      <c r="L2805">
        <f>HYPERLINK("https://raw.githubusercontent.com/marcosmapl/dataset_imigrantes/main/noticias_filtered/g1/haitianos/2015/09_out/txt/g1_089d5662-2317-11ed-b24f-6dbe51e79fca_3184.txt", "TXT")</f>
        <v/>
      </c>
    </row>
    <row r="2806">
      <c r="A2806" s="1" t="n">
        <v>2804</v>
      </c>
      <c r="B2806" t="n">
        <v>2015</v>
      </c>
      <c r="C2806" s="2" t="n">
        <v>42297.89791666667</v>
      </c>
      <c r="D2806" t="inlineStr">
        <is>
          <t>G1</t>
        </is>
      </c>
      <c r="E2806" t="inlineStr">
        <is>
          <t>VENEZUELANOS</t>
        </is>
      </c>
      <c r="F2806" t="inlineStr"/>
      <c r="G2806" t="inlineStr"/>
      <c r="H2806" t="inlineStr">
        <is>
          <t>TSE DESISTE DE MANDAR REPRESENTANTE PARA ACOMPANHAR ELEIÇÃO VENEZUELANA</t>
        </is>
      </c>
      <c r="I2806" t="inlineStr"/>
      <c r="J2806">
        <f>HYPERLINK("http://g1.globo.com/jornal-nacional/noticia/2015/10/tse-desiste-de-mandar-representante-para-acompanhar-eleicao-venezuelana.html", "URL")</f>
        <v/>
      </c>
      <c r="K2806">
        <f>HYPERLINK("https://raw.githubusercontent.com/marcosmapl/dataset_imigrantes/main/noticias_filtered/g1/venezuelanos/2015/09_out/html/g1_0792967a-232a-11ed-b24f-6dbe51e79fca_4153.html", "HTML")</f>
        <v/>
      </c>
      <c r="L2806">
        <f>HYPERLINK("https://raw.githubusercontent.com/marcosmapl/dataset_imigrantes/main/noticias_filtered/g1/venezuelanos/2015/09_out/txt/g1_0792967a-232a-11ed-b24f-6dbe51e79fca_4153.txt", "TXT")</f>
        <v/>
      </c>
    </row>
    <row r="2807">
      <c r="A2807" s="1" t="n">
        <v>2805</v>
      </c>
      <c r="B2807" t="n">
        <v>2015</v>
      </c>
      <c r="C2807" s="2" t="n">
        <v>42297.85138888889</v>
      </c>
      <c r="D2807" t="inlineStr">
        <is>
          <t>G1</t>
        </is>
      </c>
      <c r="E2807" t="inlineStr">
        <is>
          <t>HAITIANOS</t>
        </is>
      </c>
      <c r="F2807" t="inlineStr"/>
      <c r="G2807" t="inlineStr">
        <is>
          <t>1 SC</t>
        </is>
      </c>
      <c r="H2807" t="inlineStr">
        <is>
          <t>'DIZIAM: VOLTEM PARA A TERRA DE VOCÊS', CONTA MULHER DE HAITIANO MORTO EM SC</t>
        </is>
      </c>
      <c r="I2807" t="inlineStr"/>
      <c r="J2807">
        <f>HYPERLINK("http://g1.globo.com/sc/santa-catarina/noticia/2015/10/diziam-voltem-para-terra-de-voces-conta-mulher-de-haitiano-morto-em-sc.html", "URL")</f>
        <v/>
      </c>
      <c r="K2807">
        <f>HYPERLINK("https://raw.githubusercontent.com/marcosmapl/dataset_imigrantes/main/noticias_filtered/g1/haitianos/2015/09_out/html/g1_524600b8-2329-11ed-b24f-6dbe51e79fca_4109.html", "HTML")</f>
        <v/>
      </c>
      <c r="L2807">
        <f>HYPERLINK("https://raw.githubusercontent.com/marcosmapl/dataset_imigrantes/main/noticias_filtered/g1/haitianos/2015/09_out/txt/g1_524600b8-2329-11ed-b24f-6dbe51e79fca_4109.txt", "TXT")</f>
        <v/>
      </c>
    </row>
    <row r="2808">
      <c r="A2808" s="1" t="n">
        <v>2806</v>
      </c>
      <c r="B2808" t="n">
        <v>2015</v>
      </c>
      <c r="C2808" s="2" t="n">
        <v>42297.72083333333</v>
      </c>
      <c r="D2808" t="inlineStr">
        <is>
          <t>G1</t>
        </is>
      </c>
      <c r="E2808" t="inlineStr">
        <is>
          <t>HAITIANOS</t>
        </is>
      </c>
      <c r="F2808" t="inlineStr"/>
      <c r="G2808" t="inlineStr">
        <is>
          <t>1 SC</t>
        </is>
      </c>
      <c r="H2808" t="inlineStr">
        <is>
          <t>CORPO DE HAITIANO MORTO NO LITORAL DE SC AGUARDA LIBERAÇÃO APÓS TRÊS DIAS</t>
        </is>
      </c>
      <c r="I2808" t="inlineStr"/>
      <c r="J2808">
        <f>HYPERLINK("http://g1.globo.com/sc/santa-catarina/noticia/2015/10/apos-3-dias-corpo-de-haitiano-morto-em-navegantes-aguarda-liberacao.html", "URL")</f>
        <v/>
      </c>
      <c r="K2808">
        <f>HYPERLINK("https://raw.githubusercontent.com/marcosmapl/dataset_imigrantes/main/noticias_filtered/g1/haitianos/2015/09_out/html/g1_99402984-2325-11ed-b24f-6dbe51e79fca_3923.html", "HTML")</f>
        <v/>
      </c>
      <c r="L2808">
        <f>HYPERLINK("https://raw.githubusercontent.com/marcosmapl/dataset_imigrantes/main/noticias_filtered/g1/haitianos/2015/09_out/txt/g1_99402984-2325-11ed-b24f-6dbe51e79fca_3923.txt", "TXT")</f>
        <v/>
      </c>
    </row>
    <row r="2809">
      <c r="A2809" s="1" t="n">
        <v>2807</v>
      </c>
      <c r="B2809" t="n">
        <v>2015</v>
      </c>
      <c r="C2809" s="2" t="n">
        <v>42296.63819444444</v>
      </c>
      <c r="D2809" t="inlineStr">
        <is>
          <t>G1</t>
        </is>
      </c>
      <c r="E2809" t="inlineStr">
        <is>
          <t>HAITIANOS</t>
        </is>
      </c>
      <c r="F2809" t="inlineStr"/>
      <c r="G2809" t="inlineStr">
        <is>
          <t>1 SC</t>
        </is>
      </c>
      <c r="H2809" t="inlineStr">
        <is>
          <t>HAITIANO MORRE APÓS SER ESFAQUEADO EM NAVEGANTES, LITORAL DE SC</t>
        </is>
      </c>
      <c r="I2809" t="inlineStr"/>
      <c r="J2809">
        <f>HYPERLINK("http://g1.globo.com/sc/santa-catarina/noticia/2015/10/haitiano-morre-apos-ser-esfaqueado-em-navegantes-litoral-de-sc.html", "URL")</f>
        <v/>
      </c>
      <c r="K2809">
        <f>HYPERLINK("https://raw.githubusercontent.com/marcosmapl/dataset_imigrantes/main/noticias_filtered/g1/haitianos/2015/09_out/html/g1_7b97e856-231e-11ed-b24f-6dbe51e79fca_3564.html", "HTML")</f>
        <v/>
      </c>
      <c r="L2809">
        <f>HYPERLINK("https://raw.githubusercontent.com/marcosmapl/dataset_imigrantes/main/noticias_filtered/g1/haitianos/2015/09_out/txt/g1_7b97e856-231e-11ed-b24f-6dbe51e79fca_3564.txt", "TXT")</f>
        <v/>
      </c>
    </row>
    <row r="2810">
      <c r="A2810" s="1" t="n">
        <v>2808</v>
      </c>
      <c r="B2810" t="n">
        <v>2015</v>
      </c>
      <c r="C2810" s="2" t="n">
        <v>42294.52013888889</v>
      </c>
      <c r="D2810" t="inlineStr">
        <is>
          <t>G1</t>
        </is>
      </c>
      <c r="E2810" t="inlineStr">
        <is>
          <t>HAITIANOS</t>
        </is>
      </c>
      <c r="F2810" t="inlineStr"/>
      <c r="G2810" t="inlineStr">
        <is>
          <t>EUTERS</t>
        </is>
      </c>
      <c r="H2810" t="inlineStr">
        <is>
          <t>PINTURA DE BASQUIAT FOI LEVADA PELO DONO, E NÃO ROUBADA, DIZ POLÍCIA</t>
        </is>
      </c>
      <c r="I2810" t="inlineStr"/>
      <c r="J2810">
        <f>HYPERLINK("http://g1.globo.com/mundo/noticia/2015/10/pintura-de-basquiat-foi-levada-pelo-dono-e-nao-roubada-diz-policia.html", "URL")</f>
        <v/>
      </c>
      <c r="K2810">
        <f>HYPERLINK("https://raw.githubusercontent.com/marcosmapl/dataset_imigrantes/main/noticias_filtered/g1/haitianos/2015/09_out/html/g1_d9da24d0-232b-11ed-b24f-6dbe51e79fca_4275.html", "HTML")</f>
        <v/>
      </c>
      <c r="L2810">
        <f>HYPERLINK("https://raw.githubusercontent.com/marcosmapl/dataset_imigrantes/main/noticias_filtered/g1/haitianos/2015/09_out/txt/g1_d9da24d0-232b-11ed-b24f-6dbe51e79fca_4275.txt", "TXT")</f>
        <v/>
      </c>
    </row>
    <row r="2811">
      <c r="A2811" s="1" t="n">
        <v>2809</v>
      </c>
      <c r="B2811" t="n">
        <v>2015</v>
      </c>
      <c r="C2811" s="2" t="n">
        <v>42294.40347222222</v>
      </c>
      <c r="D2811" t="inlineStr">
        <is>
          <t>G1</t>
        </is>
      </c>
      <c r="E2811" t="inlineStr">
        <is>
          <t>HAITIANOS</t>
        </is>
      </c>
      <c r="F2811" t="inlineStr"/>
      <c r="G2811" t="inlineStr">
        <is>
          <t>EUTERS</t>
        </is>
      </c>
      <c r="H2811" t="inlineStr">
        <is>
          <t>PINTURA DE JEAN-MICHEL BASQUIAT É ROUBADA DE APARTAMENTO EM PARIS</t>
        </is>
      </c>
      <c r="I2811" t="inlineStr"/>
      <c r="J2811">
        <f>HYPERLINK("http://g1.globo.com/mundo/noticia/2015/10/pintura-de-jean-michel-basquiat-e-roubada-de-apartamento-em-paris.html", "URL")</f>
        <v/>
      </c>
      <c r="K2811">
        <f>HYPERLINK("https://raw.githubusercontent.com/marcosmapl/dataset_imigrantes/main/noticias_filtered/g1/haitianos/2015/09_out/html/g1_655e1028-231f-11ed-b24f-6dbe51e79fca_3619.html", "HTML")</f>
        <v/>
      </c>
      <c r="L2811">
        <f>HYPERLINK("https://raw.githubusercontent.com/marcosmapl/dataset_imigrantes/main/noticias_filtered/g1/haitianos/2015/09_out/txt/g1_655e1028-231f-11ed-b24f-6dbe51e79fca_3619.txt", "TXT")</f>
        <v/>
      </c>
    </row>
    <row r="2812">
      <c r="A2812" s="1" t="n">
        <v>2810</v>
      </c>
      <c r="B2812" t="n">
        <v>2015</v>
      </c>
      <c r="C2812" s="2" t="n">
        <v>42293.90277777778</v>
      </c>
      <c r="D2812" t="inlineStr">
        <is>
          <t>G1</t>
        </is>
      </c>
      <c r="E2812" t="inlineStr">
        <is>
          <t>HAITIANOS</t>
        </is>
      </c>
      <c r="F2812" t="inlineStr"/>
      <c r="G2812" t="inlineStr"/>
      <c r="H2812" t="inlineStr">
        <is>
          <t>ALTA DO DÓLAR FAZ HAITIANOS QUE VIVEM NO BRASIL PLANEJAREM VOLTA PARA CASA</t>
        </is>
      </c>
      <c r="I2812" t="inlineStr"/>
      <c r="J2812">
        <f>HYPERLINK("http://g1.globo.com/jornal-nacional/noticia/2015/10/alta-do-dolar-faz-haitianos-que-vivem-no-brasil-planejarem-volta-para-casa.html", "URL")</f>
        <v/>
      </c>
      <c r="K2812">
        <f>HYPERLINK("https://raw.githubusercontent.com/marcosmapl/dataset_imigrantes/main/noticias_filtered/g1/haitianos/2015/09_out/html/g1_57cdacfc-22f7-11ed-b24f-6dbe51e79fca_2073.html", "HTML")</f>
        <v/>
      </c>
      <c r="L2812">
        <f>HYPERLINK("https://raw.githubusercontent.com/marcosmapl/dataset_imigrantes/main/noticias_filtered/g1/haitianos/2015/09_out/txt/g1_57cdacfc-22f7-11ed-b24f-6dbe51e79fca_2073.txt", "TXT")</f>
        <v/>
      </c>
    </row>
    <row r="2813">
      <c r="A2813" s="1" t="n">
        <v>2811</v>
      </c>
      <c r="B2813" t="n">
        <v>2015</v>
      </c>
      <c r="C2813" s="2" t="n">
        <v>42293.47152777778</v>
      </c>
      <c r="D2813" t="inlineStr">
        <is>
          <t>G1</t>
        </is>
      </c>
      <c r="E2813" t="inlineStr">
        <is>
          <t>HAITIANOS</t>
        </is>
      </c>
      <c r="F2813" t="inlineStr"/>
      <c r="G2813" t="inlineStr">
        <is>
          <t>EN GONÇALVESDO G1 AM</t>
        </is>
      </c>
      <c r="H2813" t="inlineStr">
        <is>
          <t>NO AM, HAITIANOS E IGREJA CRIAM FÁBRICA DE PICOLÉS E PLANEJAM AMPLIAR NEGÓCIO</t>
        </is>
      </c>
      <c r="I2813" t="inlineStr"/>
      <c r="J2813">
        <f>HYPERLINK("http://g1.globo.com/am/amazonas/noticia/2015/10/no-am-haitianos-e-igreja-criam-fabrica-de-picoles-e-planejam-ampliar-negocio.html", "URL")</f>
        <v/>
      </c>
      <c r="K2813">
        <f>HYPERLINK("https://raw.githubusercontent.com/marcosmapl/dataset_imigrantes/main/noticias_filtered/g1/haitianos/2015/09_out/html/g1_4f3939d4-22f3-11ed-b24f-6dbe51e79fca_1835.html", "HTML")</f>
        <v/>
      </c>
      <c r="L2813">
        <f>HYPERLINK("https://raw.githubusercontent.com/marcosmapl/dataset_imigrantes/main/noticias_filtered/g1/haitianos/2015/09_out/txt/g1_4f3939d4-22f3-11ed-b24f-6dbe51e79fca_1835.txt", "TXT")</f>
        <v/>
      </c>
    </row>
    <row r="2814">
      <c r="A2814" s="1" t="n">
        <v>2812</v>
      </c>
      <c r="B2814" t="n">
        <v>2015</v>
      </c>
      <c r="C2814" s="2" t="n">
        <v>42290.10581018519</v>
      </c>
      <c r="D2814" t="inlineStr">
        <is>
          <t>A CRITICA</t>
        </is>
      </c>
      <c r="E2814" t="inlineStr">
        <is>
          <t>HAITIANOS</t>
        </is>
      </c>
      <c r="F2814" t="inlineStr">
        <is>
          <t>ESPORTES</t>
        </is>
      </c>
      <c r="G2814" t="inlineStr">
        <is>
          <t>ACRÍTICA.COM</t>
        </is>
      </c>
      <c r="H2814" t="inlineStr">
        <is>
          <t>BRASIL VENCE HAITI POR 5 A 1 EM AMISTOSO NA ARENA DA AMAZÔNIA</t>
        </is>
      </c>
      <c r="I2814" t="inlineStr">
        <is>
          <t>BRASIL SUB-23 FEZ O ÚLTIMO AMISTOSO EM MANAUS CONTRA A SELEÇÃO DO HAITI. EQUIPE VAI LUTAR PELO OURO INÉDITO NOS JOGOS OLÍMPICOS DO RIO DE JANEIRO</t>
        </is>
      </c>
      <c r="J2814">
        <f>HYPERLINK("https://www.acritica.com/esportes/brasil-vence-haiti-por-5-a-1-em-amistoso-na-arena-da-amazonia-1.245546", "URL")</f>
        <v/>
      </c>
      <c r="K2814">
        <f>HYPERLINK("https://raw.githubusercontent.com/marcosmapl/dataset_imigrantes/main/noticias_filtered/a_critica/haitianos/2015/09_out/html/1.245546_1313.html", "HTML")</f>
        <v/>
      </c>
      <c r="L2814">
        <f>HYPERLINK("https://raw.githubusercontent.com/marcosmapl/dataset_imigrantes/main/noticias_filtered/a_critica/haitianos/2015/09_out/txt/1.245546_1313.txt", "TXT")</f>
        <v/>
      </c>
    </row>
    <row r="2815">
      <c r="A2815" s="1" t="n">
        <v>2813</v>
      </c>
      <c r="B2815" t="n">
        <v>2015</v>
      </c>
      <c r="C2815" s="2" t="n">
        <v>42290.09518518519</v>
      </c>
      <c r="D2815" t="inlineStr">
        <is>
          <t>A CRITICA</t>
        </is>
      </c>
      <c r="E2815" t="inlineStr">
        <is>
          <t>HAITIANOS</t>
        </is>
      </c>
      <c r="F2815" t="inlineStr">
        <is>
          <t>ESPORTES</t>
        </is>
      </c>
      <c r="G2815" t="inlineStr">
        <is>
          <t>ACRÍTICA.COM</t>
        </is>
      </c>
      <c r="H2815" t="inlineStr">
        <is>
          <t>HAITIANOS CONTAGIAM TORCIDA BRASILEIRA E FAZEM 'CARNAVAL CARIBENHO' EM JOGO NA ARENA DA AMAZÔNIA</t>
        </is>
      </c>
      <c r="I2815" t="inlineStr">
        <is>
          <t>DEZENAS DE HAITIANOS FORAM A PÉ DO BAIRRO SÃO GERALDO ATÉ O ESTÁDIO, COM DIREITO A CARRO DE SOM, CANTORIA E DANÇA NUM VERDADEIRO CARNAVAL CARIBENHO EM PLENA COSTANTINO NERY</t>
        </is>
      </c>
      <c r="J2815">
        <f>HYPERLINK("https://www.acritica.com/esportes/haitianos-contagiam-torcida-brasileira-e-fazem-carnaval-caribenho-em-jogo-na-arena-da-amazonia-1.245544", "URL")</f>
        <v/>
      </c>
      <c r="K2815">
        <f>HYPERLINK("https://raw.githubusercontent.com/marcosmapl/dataset_imigrantes/main/noticias_filtered/a_critica/haitianos/2015/09_out/html/1.245544_925.html", "HTML")</f>
        <v/>
      </c>
      <c r="L2815">
        <f>HYPERLINK("https://raw.githubusercontent.com/marcosmapl/dataset_imigrantes/main/noticias_filtered/a_critica/haitianos/2015/09_out/txt/1.245544_925.txt", "TXT")</f>
        <v/>
      </c>
    </row>
    <row r="2816">
      <c r="A2816" s="1" t="n">
        <v>2814</v>
      </c>
      <c r="B2816" t="n">
        <v>2015</v>
      </c>
      <c r="C2816" s="2" t="n">
        <v>42285.71666666667</v>
      </c>
      <c r="D2816" t="inlineStr">
        <is>
          <t>G1</t>
        </is>
      </c>
      <c r="E2816" t="inlineStr">
        <is>
          <t>HAITIANOS</t>
        </is>
      </c>
      <c r="F2816" t="inlineStr"/>
      <c r="G2816" t="inlineStr">
        <is>
          <t>EL FAVERODO G1 RS</t>
        </is>
      </c>
      <c r="H2816" t="inlineStr">
        <is>
          <t>APÓS DECEPAR DEDO DE POLICIAL, HAITIANO É BALEADO E MORRE NO RS</t>
        </is>
      </c>
      <c r="I2816" t="inlineStr"/>
      <c r="J2816">
        <f>HYPERLINK("http://g1.globo.com/rs/rio-grande-do-sul/noticia/2015/10/apos-decepar-dedo-de-policial-haitiano-e-baleado-e-morre-no-rs.html", "URL")</f>
        <v/>
      </c>
      <c r="K2816">
        <f>HYPERLINK("https://raw.githubusercontent.com/marcosmapl/dataset_imigrantes/main/noticias_filtered/g1/haitianos/2015/09_out/html/g1_77051006-231f-11ed-b24f-6dbe51e79fca_3624.html", "HTML")</f>
        <v/>
      </c>
      <c r="L2816">
        <f>HYPERLINK("https://raw.githubusercontent.com/marcosmapl/dataset_imigrantes/main/noticias_filtered/g1/haitianos/2015/09_out/txt/g1_77051006-231f-11ed-b24f-6dbe51e79fca_3624.txt", "TXT")</f>
        <v/>
      </c>
    </row>
    <row r="2817">
      <c r="A2817" s="1" t="n">
        <v>2815</v>
      </c>
      <c r="B2817" t="n">
        <v>2015</v>
      </c>
      <c r="C2817" s="2" t="n">
        <v>42284.29166666666</v>
      </c>
      <c r="D2817" t="inlineStr">
        <is>
          <t>G1</t>
        </is>
      </c>
      <c r="E2817" t="inlineStr">
        <is>
          <t>HAITIANOS</t>
        </is>
      </c>
      <c r="F2817" t="inlineStr"/>
      <c r="G2817" t="inlineStr">
        <is>
          <t>S PIMENTELDO G1 MG</t>
        </is>
      </c>
      <c r="H2817" t="inlineStr">
        <is>
          <t>HAITIANOS SE PREPARAM PARA O ENEM EM BUSCA DE NOVA PROFISSÃO EM BH</t>
        </is>
      </c>
      <c r="I2817" t="inlineStr"/>
      <c r="J2817">
        <f>HYPERLINK("http://g1.globo.com/minas-gerais/noticia/2015/10/haitianos-se-preparam-para-o-enem-em-busca-de-nova-profissao-em-bh.html", "URL")</f>
        <v/>
      </c>
      <c r="K2817">
        <f>HYPERLINK("https://raw.githubusercontent.com/marcosmapl/dataset_imigrantes/main/noticias_filtered/g1/haitianos/2015/09_out/html/g1_806f27ce-22f4-11ed-b24f-6dbe51e79fca_1894.html", "HTML")</f>
        <v/>
      </c>
      <c r="L2817">
        <f>HYPERLINK("https://raw.githubusercontent.com/marcosmapl/dataset_imigrantes/main/noticias_filtered/g1/haitianos/2015/09_out/txt/g1_806f27ce-22f4-11ed-b24f-6dbe51e79fca_1894.txt", "TXT")</f>
        <v/>
      </c>
    </row>
    <row r="2818">
      <c r="A2818" s="1" t="n">
        <v>2816</v>
      </c>
      <c r="B2818" t="n">
        <v>2015</v>
      </c>
      <c r="C2818" s="2" t="n">
        <v>42279.91414351852</v>
      </c>
      <c r="D2818" t="inlineStr">
        <is>
          <t>A CRITICA</t>
        </is>
      </c>
      <c r="E2818" t="inlineStr">
        <is>
          <t>HAITIANOS</t>
        </is>
      </c>
      <c r="F2818" t="inlineStr">
        <is>
          <t>ESPORTES</t>
        </is>
      </c>
      <c r="G2818" t="inlineStr">
        <is>
          <t>ANDERSON SILVA</t>
        </is>
      </c>
      <c r="H2818" t="inlineStr">
        <is>
          <t>PRIMEIRO DIA DA VENDA DE INGRESSOS PARA OS JOGOS DA SELEÇÃO FOI CONSIDERADA 'TÍMIDA'</t>
        </is>
      </c>
      <c r="I2818" t="inlineStr">
        <is>
          <t>INÍCIO DA VENDA DAS ENTRADAS PARA OS AMISTOSOS DA SELEÇÃO OLÍMPICA CONTRA A REPÚBLICA DOMINICANA E HAITI TEVE POUCA PROCURA</t>
        </is>
      </c>
      <c r="J2818">
        <f>HYPERLINK("https://www.acritica.com/esportes/primeiro-dia-da-venda-de-ingressos-para-os-jogos-da-selec-o-foi-considerada-timida-1.245617", "URL")</f>
        <v/>
      </c>
      <c r="K2818">
        <f>HYPERLINK("https://raw.githubusercontent.com/marcosmapl/dataset_imigrantes/main/noticias_filtered/a_critica/haitianos/2015/09_out/html/1.245617_270.html", "HTML")</f>
        <v/>
      </c>
      <c r="L2818">
        <f>HYPERLINK("https://raw.githubusercontent.com/marcosmapl/dataset_imigrantes/main/noticias_filtered/a_critica/haitianos/2015/09_out/txt/1.245617_270.txt", "TXT")</f>
        <v/>
      </c>
    </row>
    <row r="2819">
      <c r="A2819" s="1" t="n">
        <v>2817</v>
      </c>
      <c r="B2819" t="n">
        <v>2015</v>
      </c>
      <c r="C2819" s="2" t="n">
        <v>42279.29513888889</v>
      </c>
      <c r="D2819" t="inlineStr">
        <is>
          <t>G1</t>
        </is>
      </c>
      <c r="E2819" t="inlineStr">
        <is>
          <t>HAITIANOS</t>
        </is>
      </c>
      <c r="F2819" t="inlineStr"/>
      <c r="G2819" t="inlineStr">
        <is>
          <t xml:space="preserve"> GOMES SILVEIRADO G1 ITAPETININGA E REGIÃO</t>
        </is>
      </c>
      <c r="H2819" t="inlineStr">
        <is>
          <t>CRISE AFETA FAMÍLIAS HAITIANAS DE IMIGRANTES NO BRASIL: 'REAL ESTÁ FRACO'</t>
        </is>
      </c>
      <c r="I2819" t="inlineStr"/>
      <c r="J2819">
        <f>HYPERLINK("http://g1.globo.com/sao-paulo/itapetininga-regiao/noticia/2015/10/crise-afeta-familias-haitianas-de-imigrantes-no-brasil-real-esta-fraco.html", "URL")</f>
        <v/>
      </c>
      <c r="K2819">
        <f>HYPERLINK("https://raw.githubusercontent.com/marcosmapl/dataset_imigrantes/main/noticias_filtered/g1/haitianos/2015/09_out/html/g1_358e547a-2315-11ed-b24f-6dbe51e79fca_3073.html", "HTML")</f>
        <v/>
      </c>
      <c r="L2819">
        <f>HYPERLINK("https://raw.githubusercontent.com/marcosmapl/dataset_imigrantes/main/noticias_filtered/g1/haitianos/2015/09_out/txt/g1_358e547a-2315-11ed-b24f-6dbe51e79fca_3073.txt", "TXT")</f>
        <v/>
      </c>
    </row>
    <row r="2820">
      <c r="A2820" s="1" t="n">
        <v>2818</v>
      </c>
      <c r="B2820" t="n">
        <v>2015</v>
      </c>
      <c r="C2820" s="2" t="n">
        <v>42273.71670138889</v>
      </c>
      <c r="D2820" t="inlineStr">
        <is>
          <t>A CRITICA</t>
        </is>
      </c>
      <c r="E2820" t="inlineStr">
        <is>
          <t>HAITIANOS</t>
        </is>
      </c>
      <c r="F2820" t="inlineStr"/>
      <c r="G2820" t="inlineStr">
        <is>
          <t>ACRÍTICA.COM</t>
        </is>
      </c>
      <c r="H2820" t="inlineStr">
        <is>
          <t>INCÊNDIO DESTRÓI CASA ALUGADA POR HAITIANOS, EM MANAUS</t>
        </is>
      </c>
      <c r="I2820" t="inlineStr">
        <is>
          <t>RESIDÊNCIA NA AV. CONSTANTINO NERY, BAIRRO SÃO GERALDO, ABRIGAVA SEIS HAITIANOS E TEVE QUEIMA TOTAL DO 1º PISO. DUAS MULHERES PASSARAM MAL E FORAM LEVADAS AO HOSPITAL</t>
        </is>
      </c>
      <c r="J2820">
        <f>HYPERLINK("https://www.acritica.com/incendio-destroi-casa-alugada-por-haitianos-em-manaus-1.246210", "URL")</f>
        <v/>
      </c>
      <c r="K2820">
        <f>HYPERLINK("https://raw.githubusercontent.com/marcosmapl/dataset_imigrantes/main/noticias_filtered/a_critica/haitianos/2015/08_set/html/1.246210_1328.html", "HTML")</f>
        <v/>
      </c>
      <c r="L2820">
        <f>HYPERLINK("https://raw.githubusercontent.com/marcosmapl/dataset_imigrantes/main/noticias_filtered/a_critica/haitianos/2015/08_set/txt/1.246210_1328.txt", "TXT")</f>
        <v/>
      </c>
    </row>
    <row r="2821">
      <c r="A2821" s="1" t="n">
        <v>2819</v>
      </c>
      <c r="B2821" t="n">
        <v>2015</v>
      </c>
      <c r="C2821" s="2" t="n">
        <v>42272.42708333334</v>
      </c>
      <c r="D2821" t="inlineStr">
        <is>
          <t>G1</t>
        </is>
      </c>
      <c r="E2821" t="inlineStr">
        <is>
          <t>HAITIANOS</t>
        </is>
      </c>
      <c r="F2821" t="inlineStr"/>
      <c r="G2821" t="inlineStr">
        <is>
          <t>SE SOARESDO G1 MT</t>
        </is>
      </c>
      <c r="H2821" t="inlineStr">
        <is>
          <t>CORPO DE HAITIANO ASSASSINADO SERÁ ENTERRADO EM MT SEM OS FAMILIARES</t>
        </is>
      </c>
      <c r="I2821" t="inlineStr"/>
      <c r="J2821">
        <f>HYPERLINK("http://g1.globo.com/mato-grosso/noticia/2015/09/corpo-de-haitiano-assassinado-sera-enterrado-em-mt-sem-os-familiares.html", "URL")</f>
        <v/>
      </c>
      <c r="K2821">
        <f>HYPERLINK("https://raw.githubusercontent.com/marcosmapl/dataset_imigrantes/main/noticias_filtered/g1/haitianos/2015/08_set/html/g1_5a19fc02-231c-11ed-b24f-6dbe51e79fca_3442.html", "HTML")</f>
        <v/>
      </c>
      <c r="L2821">
        <f>HYPERLINK("https://raw.githubusercontent.com/marcosmapl/dataset_imigrantes/main/noticias_filtered/g1/haitianos/2015/08_set/txt/g1_5a19fc02-231c-11ed-b24f-6dbe51e79fca_3442.txt", "TXT")</f>
        <v/>
      </c>
    </row>
    <row r="2822">
      <c r="A2822" s="1" t="n">
        <v>2820</v>
      </c>
      <c r="B2822" t="n">
        <v>2015</v>
      </c>
      <c r="C2822" s="2" t="n">
        <v>42269.43333333333</v>
      </c>
      <c r="D2822" t="inlineStr">
        <is>
          <t>G1</t>
        </is>
      </c>
      <c r="E2822" t="inlineStr">
        <is>
          <t>HAITIANOS</t>
        </is>
      </c>
      <c r="F2822" t="inlineStr"/>
      <c r="G2822" t="inlineStr">
        <is>
          <t>SE SOARESDO G1 MT</t>
        </is>
      </c>
      <c r="H2822" t="inlineStr">
        <is>
          <t>CASAL É PRESO SUSPEITO DE MATAR HAITIANO PARA ROUBAR CELULAR EM MT</t>
        </is>
      </c>
      <c r="I2822" t="inlineStr"/>
      <c r="J2822">
        <f>HYPERLINK("http://g1.globo.com/mato-grosso/noticia/2015/09/casal-e-preso-suspeito-de-matar-haitiano-para-roubar-celular-em-mt.html", "URL")</f>
        <v/>
      </c>
      <c r="K2822">
        <f>HYPERLINK("https://raw.githubusercontent.com/marcosmapl/dataset_imigrantes/main/noticias_filtered/g1/haitianos/2015/08_set/html/g1_fe5ad1f2-2316-11ed-b24f-6dbe51e79fca_3181.html", "HTML")</f>
        <v/>
      </c>
      <c r="L2822">
        <f>HYPERLINK("https://raw.githubusercontent.com/marcosmapl/dataset_imigrantes/main/noticias_filtered/g1/haitianos/2015/08_set/txt/g1_fe5ad1f2-2316-11ed-b24f-6dbe51e79fca_3181.txt", "TXT")</f>
        <v/>
      </c>
    </row>
    <row r="2823">
      <c r="A2823" s="1" t="n">
        <v>2821</v>
      </c>
      <c r="B2823" t="n">
        <v>2015</v>
      </c>
      <c r="C2823" s="2" t="n">
        <v>42269.40555555555</v>
      </c>
      <c r="D2823" t="inlineStr">
        <is>
          <t>G1</t>
        </is>
      </c>
      <c r="E2823" t="inlineStr">
        <is>
          <t>HAITIANOS</t>
        </is>
      </c>
      <c r="F2823" t="inlineStr"/>
      <c r="G2823" t="inlineStr">
        <is>
          <t>1 RS</t>
        </is>
      </c>
      <c r="H2823" t="inlineStr">
        <is>
          <t>SENEGALESES E HAITIANOS CONCLUEM CURSO DE AUXILIAR DE COZINHA NO RS</t>
        </is>
      </c>
      <c r="I2823" t="inlineStr"/>
      <c r="J2823">
        <f>HYPERLINK("http://g1.globo.com/rs/rio-grande-do-sul/noticia/2015/09/senegaleses-e-haitianos-concluem-curso-de-auxiliar-de-cozinha-no-rs.html", "URL")</f>
        <v/>
      </c>
      <c r="K2823">
        <f>HYPERLINK("https://raw.githubusercontent.com/marcosmapl/dataset_imigrantes/main/noticias_filtered/g1/haitianos/2015/08_set/html/g1_2b6af6bc-22fa-11ed-b24f-6dbe51e79fca_2203.html", "HTML")</f>
        <v/>
      </c>
      <c r="L2823">
        <f>HYPERLINK("https://raw.githubusercontent.com/marcosmapl/dataset_imigrantes/main/noticias_filtered/g1/haitianos/2015/08_set/txt/g1_2b6af6bc-22fa-11ed-b24f-6dbe51e79fca_2203.txt", "TXT")</f>
        <v/>
      </c>
    </row>
    <row r="2824">
      <c r="A2824" s="1" t="n">
        <v>2822</v>
      </c>
      <c r="B2824" t="n">
        <v>2015</v>
      </c>
      <c r="C2824" s="2" t="n">
        <v>42268.76944444444</v>
      </c>
      <c r="D2824" t="inlineStr">
        <is>
          <t>G1</t>
        </is>
      </c>
      <c r="E2824" t="inlineStr">
        <is>
          <t>VENEZUELANOS</t>
        </is>
      </c>
      <c r="F2824" t="inlineStr"/>
      <c r="G2824" t="inlineStr">
        <is>
          <t>FP</t>
        </is>
      </c>
      <c r="H2824" t="inlineStr">
        <is>
          <t>SANTOS E MADURO SE REÚNEM EM QUITO POR CRISE COLOMBO-VENEZUELANA</t>
        </is>
      </c>
      <c r="I2824" t="inlineStr"/>
      <c r="J2824">
        <f>HYPERLINK("http://g1.globo.com/mundo/noticia/2015/09/santos-e-maduro-se-reunem-em-quito-por-crise-colombo-venezuelana.html", "URL")</f>
        <v/>
      </c>
      <c r="K2824">
        <f>HYPERLINK("https://raw.githubusercontent.com/marcosmapl/dataset_imigrantes/main/noticias_filtered/g1/venezuelanos/2015/08_set/html/g1_ffb9da3a-231f-11ed-b24f-6dbe51e79fca_3656.html", "HTML")</f>
        <v/>
      </c>
      <c r="L2824">
        <f>HYPERLINK("https://raw.githubusercontent.com/marcosmapl/dataset_imigrantes/main/noticias_filtered/g1/venezuelanos/2015/08_set/txt/g1_ffb9da3a-231f-11ed-b24f-6dbe51e79fca_3656.txt", "TXT")</f>
        <v/>
      </c>
    </row>
    <row r="2825">
      <c r="A2825" s="1" t="n">
        <v>2823</v>
      </c>
      <c r="B2825" t="n">
        <v>2015</v>
      </c>
      <c r="C2825" s="2" t="n">
        <v>42266.69861111111</v>
      </c>
      <c r="D2825" t="inlineStr">
        <is>
          <t>G1</t>
        </is>
      </c>
      <c r="E2825" t="inlineStr">
        <is>
          <t>VENEZUELANOS</t>
        </is>
      </c>
      <c r="F2825" t="inlineStr"/>
      <c r="G2825" t="inlineStr">
        <is>
          <t>1 RN</t>
        </is>
      </c>
      <c r="H2825" t="inlineStr">
        <is>
          <t>VENEZUELANAS SÃO PRESAS AO FURTAR FARMÁCIA NA ZONA SUL DE NATAL</t>
        </is>
      </c>
      <c r="I2825" t="inlineStr"/>
      <c r="J2825">
        <f>HYPERLINK("http://g1.globo.com/rn/rio-grande-do-norte/noticia/2015/09/venezuelanas-sao-presas-ao-furtar-farmacia-na-zona-sul-de-natal.html", "URL")</f>
        <v/>
      </c>
      <c r="K2825">
        <f>HYPERLINK("https://raw.githubusercontent.com/marcosmapl/dataset_imigrantes/main/noticias_filtered/g1/venezuelanos/2015/08_set/html/g1_2e85adb8-231f-11ed-b24f-6dbe51e79fca_3607.html", "HTML")</f>
        <v/>
      </c>
      <c r="L2825">
        <f>HYPERLINK("https://raw.githubusercontent.com/marcosmapl/dataset_imigrantes/main/noticias_filtered/g1/venezuelanos/2015/08_set/txt/g1_2e85adb8-231f-11ed-b24f-6dbe51e79fca_3607.txt", "TXT")</f>
        <v/>
      </c>
    </row>
    <row r="2826">
      <c r="A2826" s="1" t="n">
        <v>2824</v>
      </c>
      <c r="B2826" t="n">
        <v>2015</v>
      </c>
      <c r="C2826" s="2" t="n">
        <v>42266.475</v>
      </c>
      <c r="D2826" t="inlineStr">
        <is>
          <t>G1</t>
        </is>
      </c>
      <c r="E2826" t="inlineStr">
        <is>
          <t>VENEZUELANOS</t>
        </is>
      </c>
      <c r="F2826" t="inlineStr"/>
      <c r="G2826" t="inlineStr">
        <is>
          <t>EUTERS</t>
        </is>
      </c>
      <c r="H2826" t="inlineStr">
        <is>
          <t>GUARDA VENEZUELANA CRUZOU FRONTEIRA DURANTE PERSEGUIÇÃO, DIZ COLÔMBIA</t>
        </is>
      </c>
      <c r="I2826" t="inlineStr"/>
      <c r="J2826">
        <f>HYPERLINK("http://g1.globo.com/mundo/noticia/2015/09/guarda-venezuelana-cruzou-fronteira-durante-perseguicao-diz-colombia.html", "URL")</f>
        <v/>
      </c>
      <c r="K2826">
        <f>HYPERLINK("https://raw.githubusercontent.com/marcosmapl/dataset_imigrantes/main/noticias_filtered/g1/venezuelanos/2015/08_set/html/g1_7aad4bdc-2316-11ed-b24f-6dbe51e79fca_3150.html", "HTML")</f>
        <v/>
      </c>
      <c r="L2826">
        <f>HYPERLINK("https://raw.githubusercontent.com/marcosmapl/dataset_imigrantes/main/noticias_filtered/g1/venezuelanos/2015/08_set/txt/g1_7aad4bdc-2316-11ed-b24f-6dbe51e79fca_3150.txt", "TXT")</f>
        <v/>
      </c>
    </row>
    <row r="2827">
      <c r="A2827" s="1" t="n">
        <v>2825</v>
      </c>
      <c r="B2827" t="n">
        <v>2015</v>
      </c>
      <c r="C2827" s="2" t="n">
        <v>42265.66875</v>
      </c>
      <c r="D2827" t="inlineStr">
        <is>
          <t>G1</t>
        </is>
      </c>
      <c r="E2827" t="inlineStr">
        <is>
          <t>HAITIANOS</t>
        </is>
      </c>
      <c r="F2827" t="inlineStr"/>
      <c r="G2827" t="inlineStr">
        <is>
          <t>1 SC</t>
        </is>
      </c>
      <c r="H2827" t="inlineStr">
        <is>
          <t>CASAL DE HAITIANOS É PRESO EM SC POR SUSPEITA DE MATAR RECÉM-NASCIDO</t>
        </is>
      </c>
      <c r="I2827" t="inlineStr"/>
      <c r="J2827">
        <f>HYPERLINK("http://g1.globo.com/sc/santa-catarina/noticia/2015/09/casal-de-haitianos-e-preso-em-sc-por-suspeita-de-matar-recem-nascido.html", "URL")</f>
        <v/>
      </c>
      <c r="K2827">
        <f>HYPERLINK("https://raw.githubusercontent.com/marcosmapl/dataset_imigrantes/main/noticias_filtered/g1/haitianos/2015/08_set/html/g1_b7f55180-22f6-11ed-b24f-6dbe51e79fca_2032.html", "HTML")</f>
        <v/>
      </c>
      <c r="L2827">
        <f>HYPERLINK("https://raw.githubusercontent.com/marcosmapl/dataset_imigrantes/main/noticias_filtered/g1/haitianos/2015/08_set/txt/g1_b7f55180-22f6-11ed-b24f-6dbe51e79fca_2032.txt", "TXT")</f>
        <v/>
      </c>
    </row>
    <row r="2828">
      <c r="A2828" s="1" t="n">
        <v>2826</v>
      </c>
      <c r="B2828" t="n">
        <v>2015</v>
      </c>
      <c r="C2828" s="2" t="n">
        <v>42265.59861111111</v>
      </c>
      <c r="D2828" t="inlineStr">
        <is>
          <t>G1</t>
        </is>
      </c>
      <c r="E2828" t="inlineStr">
        <is>
          <t>HAITIANOS</t>
        </is>
      </c>
      <c r="F2828" t="inlineStr"/>
      <c r="G2828" t="inlineStr">
        <is>
          <t xml:space="preserve"> RODRIGUESDO G1 AC</t>
        </is>
      </c>
      <c r="H2828" t="inlineStr">
        <is>
          <t>PELA 1ª VEZ, Nº DE SENEGALESES É MAIOR QUE DE HAITIANOS EM ABRIGO NO AC</t>
        </is>
      </c>
      <c r="I2828" t="inlineStr"/>
      <c r="J2828">
        <f>HYPERLINK("http://g1.globo.com/ac/acre/noticia/2015/09/pela-1-vez-n-de-senegaleses-e-maior-de-que-de-haitianos-em-abrigo-no-ac.html", "URL")</f>
        <v/>
      </c>
      <c r="K2828">
        <f>HYPERLINK("https://raw.githubusercontent.com/marcosmapl/dataset_imigrantes/main/noticias_filtered/g1/haitianos/2015/08_set/html/g1_2999eb48-22f7-11ed-b24f-6dbe51e79fca_2063.html", "HTML")</f>
        <v/>
      </c>
      <c r="L2828">
        <f>HYPERLINK("https://raw.githubusercontent.com/marcosmapl/dataset_imigrantes/main/noticias_filtered/g1/haitianos/2015/08_set/txt/g1_2999eb48-22f7-11ed-b24f-6dbe51e79fca_2063.txt", "TXT")</f>
        <v/>
      </c>
    </row>
    <row r="2829">
      <c r="A2829" s="1" t="n">
        <v>2827</v>
      </c>
      <c r="B2829" t="n">
        <v>2015</v>
      </c>
      <c r="C2829" s="2" t="n">
        <v>42263.64791666667</v>
      </c>
      <c r="D2829" t="inlineStr">
        <is>
          <t>G1</t>
        </is>
      </c>
      <c r="E2829" t="inlineStr">
        <is>
          <t>HAITIANOS</t>
        </is>
      </c>
      <c r="F2829" t="inlineStr"/>
      <c r="G2829" t="inlineStr">
        <is>
          <t>1 SUL DE MINAS</t>
        </is>
      </c>
      <c r="H2829" t="inlineStr">
        <is>
          <t>PASTOR ABRE IGREJA PARA HAITIANOS QUE MORAM E TRABALHAM EM ANDRADAS, MG</t>
        </is>
      </c>
      <c r="I2829" t="inlineStr"/>
      <c r="J2829">
        <f>HYPERLINK("http://g1.globo.com/mg/sul-de-minas/noticia/2015/09/pastor-abre-igreja-para-haitianos-que-moram-e-trabalham-em-andradas-mg.html", "URL")</f>
        <v/>
      </c>
      <c r="K2829">
        <f>HYPERLINK("https://raw.githubusercontent.com/marcosmapl/dataset_imigrantes/main/noticias_filtered/g1/haitianos/2015/08_set/html/g1_f08480f2-22f1-11ed-b24f-6dbe51e79fca_1772.html", "HTML")</f>
        <v/>
      </c>
      <c r="L2829">
        <f>HYPERLINK("https://raw.githubusercontent.com/marcosmapl/dataset_imigrantes/main/noticias_filtered/g1/haitianos/2015/08_set/txt/g1_f08480f2-22f1-11ed-b24f-6dbe51e79fca_1772.txt", "TXT")</f>
        <v/>
      </c>
    </row>
    <row r="2830">
      <c r="A2830" s="1" t="n">
        <v>2828</v>
      </c>
      <c r="B2830" t="n">
        <v>2015</v>
      </c>
      <c r="C2830" s="2" t="n">
        <v>42261.51041666666</v>
      </c>
      <c r="D2830" t="inlineStr">
        <is>
          <t>G1</t>
        </is>
      </c>
      <c r="E2830" t="inlineStr">
        <is>
          <t>HAITIANOS</t>
        </is>
      </c>
      <c r="F2830" t="inlineStr"/>
      <c r="G2830" t="inlineStr">
        <is>
          <t>YANA ARAÚJODO G1 MT</t>
        </is>
      </c>
      <c r="H2830" t="inlineStr">
        <is>
          <t>HAITIANO É MORTO NA PORTA DE CASA EM MT SUPOSTAMENTE VÍTIMA DE LATROCÍNIO</t>
        </is>
      </c>
      <c r="I2830" t="inlineStr"/>
      <c r="J2830">
        <f>HYPERLINK("http://g1.globo.com/mato-grosso/noticia/2015/09/haitiano-e-morto-na-porta-de-casa-em-mt-supostamente-vitima-de-latrocinio.html", "URL")</f>
        <v/>
      </c>
      <c r="K2830">
        <f>HYPERLINK("https://raw.githubusercontent.com/marcosmapl/dataset_imigrantes/main/noticias_filtered/g1/haitianos/2015/08_set/html/g1_eb048f3e-230d-11ed-b24f-6dbe51e79fca_2712.html", "HTML")</f>
        <v/>
      </c>
      <c r="L2830">
        <f>HYPERLINK("https://raw.githubusercontent.com/marcosmapl/dataset_imigrantes/main/noticias_filtered/g1/haitianos/2015/08_set/txt/g1_eb048f3e-230d-11ed-b24f-6dbe51e79fca_2712.txt", "TXT")</f>
        <v/>
      </c>
    </row>
    <row r="2831">
      <c r="A2831" s="1" t="n">
        <v>2829</v>
      </c>
      <c r="B2831" t="n">
        <v>2015</v>
      </c>
      <c r="C2831" s="2" t="n">
        <v>42255.90972222222</v>
      </c>
      <c r="D2831" t="inlineStr">
        <is>
          <t>G1</t>
        </is>
      </c>
      <c r="E2831" t="inlineStr">
        <is>
          <t>HAITIANOS</t>
        </is>
      </c>
      <c r="F2831" t="inlineStr"/>
      <c r="G2831" t="inlineStr">
        <is>
          <t>1 RO</t>
        </is>
      </c>
      <c r="H2831" t="inlineStr">
        <is>
          <t>LITERATURAS HAITIANA E CARIBENHA SÃO TEMAS DE PALESTRAS NA UNIR, NA CAPITAL</t>
        </is>
      </c>
      <c r="I2831" t="inlineStr"/>
      <c r="J2831">
        <f>HYPERLINK("http://g1.globo.com/ro/rondonia/noticia/2015/09/literaturas-haitiana-e-caribenha-sao-temas-de-palestras-na-unir-na-capital.html", "URL")</f>
        <v/>
      </c>
      <c r="K2831">
        <f>HYPERLINK("https://raw.githubusercontent.com/marcosmapl/dataset_imigrantes/main/noticias_filtered/g1/haitianos/2015/08_set/html/g1_06053556-2311-11ed-b24f-6dbe51e79fca_2892.html", "HTML")</f>
        <v/>
      </c>
      <c r="L2831">
        <f>HYPERLINK("https://raw.githubusercontent.com/marcosmapl/dataset_imigrantes/main/noticias_filtered/g1/haitianos/2015/08_set/txt/g1_06053556-2311-11ed-b24f-6dbe51e79fca_2892.txt", "TXT")</f>
        <v/>
      </c>
    </row>
    <row r="2832">
      <c r="A2832" s="1" t="n">
        <v>2830</v>
      </c>
      <c r="B2832" t="n">
        <v>2015</v>
      </c>
      <c r="C2832" s="2" t="n">
        <v>42254.575</v>
      </c>
      <c r="D2832" t="inlineStr">
        <is>
          <t>G1</t>
        </is>
      </c>
      <c r="E2832" t="inlineStr">
        <is>
          <t>HAITIANOS</t>
        </is>
      </c>
      <c r="F2832" t="inlineStr"/>
      <c r="G2832" t="inlineStr">
        <is>
          <t xml:space="preserve"> BARBOSACUIABÁ, MT</t>
        </is>
      </c>
      <c r="H2832" t="inlineStr">
        <is>
          <t>HAITIANOS ENFRENTAM DIFICULDADES PARA CONSEGUIR EMPREGO NO BRASIL</t>
        </is>
      </c>
      <c r="I2832" t="inlineStr"/>
      <c r="J2832">
        <f>HYPERLINK("http://g1.globo.com/jornal-hoje/noticia/2015/09/haitianos-enfrentam-dificuldades-para-conseguir-emprego-no-brasil.html", "URL")</f>
        <v/>
      </c>
      <c r="K2832">
        <f>HYPERLINK("https://raw.githubusercontent.com/marcosmapl/dataset_imigrantes/main/noticias_filtered/g1/haitianos/2015/08_set/html/g1_732d72f0-22f4-11ed-b24f-6dbe51e79fca_1890.html", "HTML")</f>
        <v/>
      </c>
      <c r="L2832">
        <f>HYPERLINK("https://raw.githubusercontent.com/marcosmapl/dataset_imigrantes/main/noticias_filtered/g1/haitianos/2015/08_set/txt/g1_732d72f0-22f4-11ed-b24f-6dbe51e79fca_1890.txt", "TXT")</f>
        <v/>
      </c>
    </row>
    <row r="2833">
      <c r="A2833" s="1" t="n">
        <v>2831</v>
      </c>
      <c r="B2833" t="n">
        <v>2015</v>
      </c>
      <c r="C2833" s="2" t="n">
        <v>42254.55555555555</v>
      </c>
      <c r="D2833" t="inlineStr">
        <is>
          <t>G1</t>
        </is>
      </c>
      <c r="E2833" t="inlineStr">
        <is>
          <t>HAITIANOS</t>
        </is>
      </c>
      <c r="F2833" t="inlineStr"/>
      <c r="G2833" t="inlineStr">
        <is>
          <t>1 CAMPINAS E REGIÃO</t>
        </is>
      </c>
      <c r="H2833" t="inlineStr">
        <is>
          <t>PARA DEFINIR POLÍTICA SOCIAL, AMERICANA MAPEIA FLUXO MIGRATÓRIO DE HAITIANOS</t>
        </is>
      </c>
      <c r="I2833" t="inlineStr"/>
      <c r="J2833">
        <f>HYPERLINK("http://g1.globo.com/sp/campinas-regiao/noticia/2015/09/para-definir-politica-social-americana-mapeia-fluxo-migratorio-de-haitianos.html", "URL")</f>
        <v/>
      </c>
      <c r="K2833">
        <f>HYPERLINK("https://raw.githubusercontent.com/marcosmapl/dataset_imigrantes/main/noticias_filtered/g1/haitianos/2015/08_set/html/g1_9b104216-22f9-11ed-b24f-6dbe51e79fca_2173.html", "HTML")</f>
        <v/>
      </c>
      <c r="L2833">
        <f>HYPERLINK("https://raw.githubusercontent.com/marcosmapl/dataset_imigrantes/main/noticias_filtered/g1/haitianos/2015/08_set/txt/g1_9b104216-22f9-11ed-b24f-6dbe51e79fca_2173.txt", "TXT")</f>
        <v/>
      </c>
    </row>
    <row r="2834">
      <c r="A2834" s="1" t="n">
        <v>2832</v>
      </c>
      <c r="B2834" t="n">
        <v>2015</v>
      </c>
      <c r="C2834" s="2" t="n">
        <v>42244.34097222222</v>
      </c>
      <c r="D2834" t="inlineStr">
        <is>
          <t>G1</t>
        </is>
      </c>
      <c r="E2834" t="inlineStr">
        <is>
          <t>HAITIANOS</t>
        </is>
      </c>
      <c r="F2834" t="inlineStr"/>
      <c r="G2834" t="inlineStr">
        <is>
          <t>ELLO CARVALHODO G1 PIRACICABA E REGIÃO</t>
        </is>
      </c>
      <c r="H2834" t="inlineStr">
        <is>
          <t>ALESP APURA XENOFOBIA E RACISMO EM FRASES PARA HAITIANOS NO INTERIOR DE SP</t>
        </is>
      </c>
      <c r="I2834" t="inlineStr"/>
      <c r="J2834">
        <f>HYPERLINK("http://g1.globo.com/sp/piracicaba-regiao/noticia/2015/08/alesp-apura-xenofobia-e-racismo-em-frases-para-haitianos-no-interior-de-sp.html", "URL")</f>
        <v/>
      </c>
      <c r="K2834">
        <f>HYPERLINK("https://raw.githubusercontent.com/marcosmapl/dataset_imigrantes/main/noticias_filtered/g1/haitianos/2015/07_ago/html/g1_a33a773c-22f8-11ed-b24f-6dbe51e79fca_2148.html", "HTML")</f>
        <v/>
      </c>
      <c r="L2834">
        <f>HYPERLINK("https://raw.githubusercontent.com/marcosmapl/dataset_imigrantes/main/noticias_filtered/g1/haitianos/2015/07_ago/txt/g1_a33a773c-22f8-11ed-b24f-6dbe51e79fca_2148.txt", "TXT")</f>
        <v/>
      </c>
    </row>
    <row r="2835">
      <c r="A2835" s="1" t="n">
        <v>2833</v>
      </c>
      <c r="B2835" t="n">
        <v>2015</v>
      </c>
      <c r="C2835" s="2" t="n">
        <v>42242.94375</v>
      </c>
      <c r="D2835" t="inlineStr">
        <is>
          <t>G1</t>
        </is>
      </c>
      <c r="E2835" t="inlineStr">
        <is>
          <t>HAITIANOS</t>
        </is>
      </c>
      <c r="F2835" t="inlineStr"/>
      <c r="G2835" t="inlineStr">
        <is>
          <t>RANCE PRESSE</t>
        </is>
      </c>
      <c r="H2835" t="inlineStr">
        <is>
          <t>EUA PROLONGAM NOVAMENTE ASILO TEMPORÁRIO DE HAITIANOS NO PAÍS</t>
        </is>
      </c>
      <c r="I2835" t="inlineStr"/>
      <c r="J2835">
        <f>HYPERLINK("http://g1.globo.com/mundo/noticia/2015/08/eua-prolongam-novamente-asilo-temporario-de-haitianos-no-pais.html", "URL")</f>
        <v/>
      </c>
      <c r="K2835">
        <f>HYPERLINK("https://raw.githubusercontent.com/marcosmapl/dataset_imigrantes/main/noticias_filtered/g1/haitianos/2015/07_ago/html/g1_016d7690-22fb-11ed-b24f-6dbe51e79fca_2256.html", "HTML")</f>
        <v/>
      </c>
      <c r="L2835">
        <f>HYPERLINK("https://raw.githubusercontent.com/marcosmapl/dataset_imigrantes/main/noticias_filtered/g1/haitianos/2015/07_ago/txt/g1_016d7690-22fb-11ed-b24f-6dbe51e79fca_2256.txt", "TXT")</f>
        <v/>
      </c>
    </row>
    <row r="2836">
      <c r="A2836" s="1" t="n">
        <v>2834</v>
      </c>
      <c r="B2836" t="n">
        <v>2015</v>
      </c>
      <c r="C2836" s="2" t="n">
        <v>42239.425</v>
      </c>
      <c r="D2836" t="inlineStr">
        <is>
          <t>G1</t>
        </is>
      </c>
      <c r="E2836" t="inlineStr">
        <is>
          <t>HAITIANOS</t>
        </is>
      </c>
      <c r="F2836" t="inlineStr"/>
      <c r="G2836" t="inlineStr">
        <is>
          <t>1 MS</t>
        </is>
      </c>
      <c r="H2836" t="inlineStr">
        <is>
          <t>HAITIANO MORDE E AGRIDE MULHER APÓS SUSPEITA DE TRAIÇÃO EM MS, DIZ POLÍCIA</t>
        </is>
      </c>
      <c r="I2836" t="inlineStr"/>
      <c r="J2836">
        <f>HYPERLINK("http://g1.globo.com/mato-grosso-do-sul/noticia/2015/08/haitiano-agride-mulher-apos-suspeita-de-traicao-em-ms-diz-policia-civil.html", "URL")</f>
        <v/>
      </c>
      <c r="K2836">
        <f>HYPERLINK("https://raw.githubusercontent.com/marcosmapl/dataset_imigrantes/main/noticias_filtered/g1/haitianos/2015/07_ago/html/g1_c38554c4-230e-11ed-b24f-6dbe51e79fca_2755.html", "HTML")</f>
        <v/>
      </c>
      <c r="L2836">
        <f>HYPERLINK("https://raw.githubusercontent.com/marcosmapl/dataset_imigrantes/main/noticias_filtered/g1/haitianos/2015/07_ago/txt/g1_c38554c4-230e-11ed-b24f-6dbe51e79fca_2755.txt", "TXT")</f>
        <v/>
      </c>
    </row>
    <row r="2837">
      <c r="A2837" s="1" t="n">
        <v>2835</v>
      </c>
      <c r="B2837" t="n">
        <v>2015</v>
      </c>
      <c r="C2837" s="2" t="n">
        <v>42234.72152777778</v>
      </c>
      <c r="D2837" t="inlineStr">
        <is>
          <t>G1</t>
        </is>
      </c>
      <c r="E2837" t="inlineStr">
        <is>
          <t>HAITIANOS</t>
        </is>
      </c>
      <c r="F2837" t="inlineStr"/>
      <c r="G2837" t="inlineStr">
        <is>
          <t>1 RR</t>
        </is>
      </c>
      <c r="H2837" t="inlineStr">
        <is>
          <t>CORPO DE HAITIANO É ENCONTRADO NO RIO BRANCO POR BOMBEIROS DE RORAIMA</t>
        </is>
      </c>
      <c r="I2837" t="inlineStr"/>
      <c r="J2837">
        <f>HYPERLINK("http://g1.globo.com/rr/roraima/noticia/2015/08/corpo-de-haitiano-e-encontrado-no-rio-branco-por-bombeiros-de-roraima.html", "URL")</f>
        <v/>
      </c>
      <c r="K2837">
        <f>HYPERLINK("https://raw.githubusercontent.com/marcosmapl/dataset_imigrantes/main/noticias_filtered/g1/haitianos/2015/07_ago/html/g1_9e896bb4-230f-11ed-b24f-6dbe51e79fca_2808.html", "HTML")</f>
        <v/>
      </c>
      <c r="L2837">
        <f>HYPERLINK("https://raw.githubusercontent.com/marcosmapl/dataset_imigrantes/main/noticias_filtered/g1/haitianos/2015/07_ago/txt/g1_9e896bb4-230f-11ed-b24f-6dbe51e79fca_2808.txt", "TXT")</f>
        <v/>
      </c>
    </row>
    <row r="2838">
      <c r="A2838" s="1" t="n">
        <v>2836</v>
      </c>
      <c r="B2838" t="n">
        <v>2015</v>
      </c>
      <c r="C2838" s="2" t="n">
        <v>42229.57013888889</v>
      </c>
      <c r="D2838" t="inlineStr">
        <is>
          <t>G1</t>
        </is>
      </c>
      <c r="E2838" t="inlineStr">
        <is>
          <t>HAITIANOS</t>
        </is>
      </c>
      <c r="F2838" t="inlineStr"/>
      <c r="G2838" t="inlineStr">
        <is>
          <t>1 RS</t>
        </is>
      </c>
      <c r="H2838" t="inlineStr">
        <is>
          <t>APÓS MAIS DE UM ANO, IMIGRANTE HAITIANO REENCONTRA FAMÍLIA NO RS</t>
        </is>
      </c>
      <c r="I2838" t="inlineStr"/>
      <c r="J2838">
        <f>HYPERLINK("http://g1.globo.com/rs/rio-grande-do-sul/noticia/2015/08/apos-mais-de-um-ano-imigrante-haitiano-reencontra-familia-no-rs.html", "URL")</f>
        <v/>
      </c>
      <c r="K2838">
        <f>HYPERLINK("https://raw.githubusercontent.com/marcosmapl/dataset_imigrantes/main/noticias_filtered/g1/haitianos/2015/07_ago/html/g1_8fa0d584-230e-11ed-b24f-6dbe51e79fca_2745.html", "HTML")</f>
        <v/>
      </c>
      <c r="L2838">
        <f>HYPERLINK("https://raw.githubusercontent.com/marcosmapl/dataset_imigrantes/main/noticias_filtered/g1/haitianos/2015/07_ago/txt/g1_8fa0d584-230e-11ed-b24f-6dbe51e79fca_2745.txt", "TXT")</f>
        <v/>
      </c>
    </row>
    <row r="2839">
      <c r="A2839" s="1" t="n">
        <v>2837</v>
      </c>
      <c r="B2839" t="n">
        <v>2015</v>
      </c>
      <c r="C2839" s="2" t="n">
        <v>42227.83958333333</v>
      </c>
      <c r="D2839" t="inlineStr">
        <is>
          <t>G1</t>
        </is>
      </c>
      <c r="E2839" t="inlineStr">
        <is>
          <t>HAITIANOS</t>
        </is>
      </c>
      <c r="F2839" t="inlineStr"/>
      <c r="G2839" t="inlineStr">
        <is>
          <t>RANCE PRESSE</t>
        </is>
      </c>
      <c r="H2839" t="inlineStr">
        <is>
          <t>ORGANIZAÇÕES DE DIREITOS HUMANOS CRITICAM LEGISLATIVAS NO HAITI</t>
        </is>
      </c>
      <c r="I2839" t="inlineStr"/>
      <c r="J2839">
        <f>HYPERLINK("http://g1.globo.com/mundo/noticia/2015/08/organizacoes-de-direitos-humanos-criticam-legislativas-no-haiti.html", "URL")</f>
        <v/>
      </c>
      <c r="K2839">
        <f>HYPERLINK("https://raw.githubusercontent.com/marcosmapl/dataset_imigrantes/main/noticias_filtered/g1/haitianos/2015/07_ago/html/g1_1470d5c6-2309-11ed-b24f-6dbe51e79fca_2424.html", "HTML")</f>
        <v/>
      </c>
      <c r="L2839">
        <f>HYPERLINK("https://raw.githubusercontent.com/marcosmapl/dataset_imigrantes/main/noticias_filtered/g1/haitianos/2015/07_ago/txt/g1_1470d5c6-2309-11ed-b24f-6dbe51e79fca_2424.txt", "TXT")</f>
        <v/>
      </c>
    </row>
    <row r="2840">
      <c r="A2840" s="1" t="n">
        <v>2838</v>
      </c>
      <c r="B2840" t="n">
        <v>2015</v>
      </c>
      <c r="C2840" s="2" t="n">
        <v>42226.88680555556</v>
      </c>
      <c r="D2840" t="inlineStr">
        <is>
          <t>G1</t>
        </is>
      </c>
      <c r="E2840" t="inlineStr">
        <is>
          <t>HAITIANOS</t>
        </is>
      </c>
      <c r="F2840" t="inlineStr"/>
      <c r="G2840" t="inlineStr"/>
      <c r="H2840" t="inlineStr">
        <is>
          <t>POLÍCIA OUVE DEPOIMENTO DE HAITIANO ATINGIDO POR BALAS DE CHUMBINHO</t>
        </is>
      </c>
      <c r="I2840" t="inlineStr"/>
      <c r="J2840">
        <f>HYPERLINK("http://g1.globo.com/jornal-nacional/noticia/2015/08/policia-ouve-depoimento-de-haitiano-atingido-por-balas-de-chumbinho.html", "URL")</f>
        <v/>
      </c>
      <c r="K2840">
        <f>HYPERLINK("https://raw.githubusercontent.com/marcosmapl/dataset_imigrantes/main/noticias_filtered/g1/haitianos/2015/07_ago/html/g1_6cd4a324-22f4-11ed-b24f-6dbe51e79fca_1888.html", "HTML")</f>
        <v/>
      </c>
      <c r="L2840">
        <f>HYPERLINK("https://raw.githubusercontent.com/marcosmapl/dataset_imigrantes/main/noticias_filtered/g1/haitianos/2015/07_ago/txt/g1_6cd4a324-22f4-11ed-b24f-6dbe51e79fca_1888.txt", "TXT")</f>
        <v/>
      </c>
    </row>
    <row r="2841">
      <c r="A2841" s="1" t="n">
        <v>2839</v>
      </c>
      <c r="B2841" t="n">
        <v>2015</v>
      </c>
      <c r="C2841" s="2" t="n">
        <v>42226.8</v>
      </c>
      <c r="D2841" t="inlineStr">
        <is>
          <t>G1</t>
        </is>
      </c>
      <c r="E2841" t="inlineStr">
        <is>
          <t>HAITIANOS</t>
        </is>
      </c>
      <c r="F2841" t="inlineStr"/>
      <c r="G2841" t="inlineStr">
        <is>
          <t>O TOLEDO PIZADO G1 SÃO PAULO</t>
        </is>
      </c>
      <c r="H2841" t="inlineStr">
        <is>
          <t>'PENSEI QUE ERA UMA PEDRADA', DIZ HAITIANO ATACADO NO GLICÉRIO</t>
        </is>
      </c>
      <c r="I2841" t="inlineStr"/>
      <c r="J2841">
        <f>HYPERLINK("http://g1.globo.com/sao-paulo/noticia/2015/08/pensei-que-era-uma-pedrada-diz-haitiano-atacado-no-glicerio.html", "URL")</f>
        <v/>
      </c>
      <c r="K2841">
        <f>HYPERLINK("https://raw.githubusercontent.com/marcosmapl/dataset_imigrantes/main/noticias_filtered/g1/haitianos/2015/07_ago/html/g1_b730ee4c-2311-11ed-b24f-6dbe51e79fca_2930.html", "HTML")</f>
        <v/>
      </c>
      <c r="L2841">
        <f>HYPERLINK("https://raw.githubusercontent.com/marcosmapl/dataset_imigrantes/main/noticias_filtered/g1/haitianos/2015/07_ago/txt/g1_b730ee4c-2311-11ed-b24f-6dbe51e79fca_2930.txt", "TXT")</f>
        <v/>
      </c>
    </row>
    <row r="2842">
      <c r="A2842" s="1" t="n">
        <v>2840</v>
      </c>
      <c r="B2842" t="n">
        <v>2015</v>
      </c>
      <c r="C2842" s="2" t="n">
        <v>42226.67430555556</v>
      </c>
      <c r="D2842" t="inlineStr">
        <is>
          <t>G1</t>
        </is>
      </c>
      <c r="E2842" t="inlineStr">
        <is>
          <t>HAITIANOS</t>
        </is>
      </c>
      <c r="F2842" t="inlineStr"/>
      <c r="G2842" t="inlineStr">
        <is>
          <t>1 RIO PRETO E ARAÇATUBA</t>
        </is>
      </c>
      <c r="H2842" t="inlineStr">
        <is>
          <t>HAITIANO TEM ATAQUE DE FÚRIA E DESTRÓI PAPELARIA EM SÃO JOSÉ DO RIO PRETO</t>
        </is>
      </c>
      <c r="I2842" t="inlineStr"/>
      <c r="J2842">
        <f>HYPERLINK("http://g1.globo.com/sao-paulo/sao-jose-do-rio-preto-aracatuba/noticia/2015/08/haitiano-tem-ataque-de-furia-e-destroi-papelaria-em-sao-jose-do-rio-preto.html", "URL")</f>
        <v/>
      </c>
      <c r="K2842">
        <f>HYPERLINK("https://raw.githubusercontent.com/marcosmapl/dataset_imigrantes/main/noticias_filtered/g1/haitianos/2015/07_ago/html/g1_f408188e-2327-11ed-b24f-6dbe51e79fca_4057.html", "HTML")</f>
        <v/>
      </c>
      <c r="L2842">
        <f>HYPERLINK("https://raw.githubusercontent.com/marcosmapl/dataset_imigrantes/main/noticias_filtered/g1/haitianos/2015/07_ago/txt/g1_f408188e-2327-11ed-b24f-6dbe51e79fca_4057.txt", "TXT")</f>
        <v/>
      </c>
    </row>
    <row r="2843">
      <c r="A2843" s="1" t="n">
        <v>2841</v>
      </c>
      <c r="B2843" t="n">
        <v>2015</v>
      </c>
      <c r="C2843" s="2" t="n">
        <v>42226.56111111111</v>
      </c>
      <c r="D2843" t="inlineStr">
        <is>
          <t>G1</t>
        </is>
      </c>
      <c r="E2843" t="inlineStr">
        <is>
          <t>HAITIANOS</t>
        </is>
      </c>
      <c r="F2843" t="inlineStr"/>
      <c r="G2843" t="inlineStr">
        <is>
          <t>1 SÃO PAULO</t>
        </is>
      </c>
      <c r="H2843" t="inlineStr">
        <is>
          <t>HAITIANOS SOFRERAM TRÊS ATAQUES SEGUIDOS NO GLICÉRIO, DIZ DELEGADO</t>
        </is>
      </c>
      <c r="I2843" t="inlineStr"/>
      <c r="J2843">
        <f>HYPERLINK("http://g1.globo.com/sao-paulo/noticia/2015/08/haitianos-sofreram-tres-ataques-seguidos-no-glicerio-diz-delegado.html", "URL")</f>
        <v/>
      </c>
      <c r="K2843">
        <f>HYPERLINK("https://raw.githubusercontent.com/marcosmapl/dataset_imigrantes/main/noticias_filtered/g1/haitianos/2015/07_ago/html/g1_0fc9ea4c-22f7-11ed-b24f-6dbe51e79fca_2056.html", "HTML")</f>
        <v/>
      </c>
      <c r="L2843">
        <f>HYPERLINK("https://raw.githubusercontent.com/marcosmapl/dataset_imigrantes/main/noticias_filtered/g1/haitianos/2015/07_ago/txt/g1_0fc9ea4c-22f7-11ed-b24f-6dbe51e79fca_2056.txt", "TXT")</f>
        <v/>
      </c>
    </row>
    <row r="2844">
      <c r="A2844" s="1" t="n">
        <v>2842</v>
      </c>
      <c r="B2844" t="n">
        <v>2015</v>
      </c>
      <c r="C2844" s="2" t="n">
        <v>42225.53958333333</v>
      </c>
      <c r="D2844" t="inlineStr">
        <is>
          <t>G1</t>
        </is>
      </c>
      <c r="E2844" t="inlineStr">
        <is>
          <t>HAITIANOS</t>
        </is>
      </c>
      <c r="F2844" t="inlineStr"/>
      <c r="G2844" t="inlineStr">
        <is>
          <t>FP</t>
        </is>
      </c>
      <c r="H2844" t="inlineStr">
        <is>
          <t>HAITIANOS ELEGEM NOVO CONGRESSO ENTRE ATRASOS E BRIGAS</t>
        </is>
      </c>
      <c r="I2844" t="inlineStr"/>
      <c r="J2844">
        <f>HYPERLINK("http://g1.globo.com/mundo/noticia/2015/08/haitianos-elegem-novo-congresso-entre-atrasos-e-brigas.html", "URL")</f>
        <v/>
      </c>
      <c r="K2844">
        <f>HYPERLINK("https://raw.githubusercontent.com/marcosmapl/dataset_imigrantes/main/noticias_filtered/g1/haitianos/2015/07_ago/html/g1_c5b02640-22f3-11ed-b24f-6dbe51e79fca_1857.html", "HTML")</f>
        <v/>
      </c>
      <c r="L2844">
        <f>HYPERLINK("https://raw.githubusercontent.com/marcosmapl/dataset_imigrantes/main/noticias_filtered/g1/haitianos/2015/07_ago/txt/g1_c5b02640-22f3-11ed-b24f-6dbe51e79fca_1857.txt", "TXT")</f>
        <v/>
      </c>
    </row>
    <row r="2845">
      <c r="A2845" s="1" t="n">
        <v>2843</v>
      </c>
      <c r="B2845" t="n">
        <v>2015</v>
      </c>
      <c r="C2845" s="2" t="n">
        <v>42224.56597222222</v>
      </c>
      <c r="D2845" t="inlineStr">
        <is>
          <t>G1</t>
        </is>
      </c>
      <c r="E2845" t="inlineStr">
        <is>
          <t>HAITIANOS</t>
        </is>
      </c>
      <c r="F2845" t="inlineStr"/>
      <c r="G2845" t="inlineStr">
        <is>
          <t>1 SÃO PAULO</t>
        </is>
      </c>
      <c r="H2845" t="inlineStr">
        <is>
          <t>HAITIANOS SÃO ALVO DE ATAQUE NO CENTRO DE SÃO PAULO</t>
        </is>
      </c>
      <c r="I2845" t="inlineStr"/>
      <c r="J2845">
        <f>HYPERLINK("http://g1.globo.com/sao-paulo/noticia/2015/08/haitianos-sao-alvo-de-ataque-no-centro-de-sao-paulo.html", "URL")</f>
        <v/>
      </c>
      <c r="K2845">
        <f>HYPERLINK("https://raw.githubusercontent.com/marcosmapl/dataset_imigrantes/main/noticias_filtered/g1/haitianos/2015/07_ago/html/g1_470671c4-22f2-11ed-b24f-6dbe51e79fca_1789.html", "HTML")</f>
        <v/>
      </c>
      <c r="L2845">
        <f>HYPERLINK("https://raw.githubusercontent.com/marcosmapl/dataset_imigrantes/main/noticias_filtered/g1/haitianos/2015/07_ago/txt/g1_470671c4-22f2-11ed-b24f-6dbe51e79fca_1789.txt", "TXT")</f>
        <v/>
      </c>
    </row>
    <row r="2846">
      <c r="A2846" s="1" t="n">
        <v>2844</v>
      </c>
      <c r="B2846" t="n">
        <v>2015</v>
      </c>
      <c r="C2846" s="2" t="n">
        <v>42218.70138888889</v>
      </c>
      <c r="D2846" t="inlineStr">
        <is>
          <t>G1</t>
        </is>
      </c>
      <c r="E2846" t="inlineStr">
        <is>
          <t>HAITIANOS</t>
        </is>
      </c>
      <c r="F2846" t="inlineStr"/>
      <c r="G2846" t="inlineStr">
        <is>
          <t>ÍCIO REBELLATODA RBS TV</t>
        </is>
      </c>
      <c r="H2846" t="inlineStr">
        <is>
          <t>'QUE SIRVA DE EXEMPLO', DIZ JOVEM QUE DEVOLVEU R$ 400 A HAITIANO NO RS</t>
        </is>
      </c>
      <c r="I2846" t="inlineStr"/>
      <c r="J2846">
        <f>HYPERLINK("http://g1.globo.com/rs/rio-grande-do-sul/noticia/2015/08/que-sirva-de-exemplo-diz-jovem-que-devolveu-r-400-haitiano-no-rs.html", "URL")</f>
        <v/>
      </c>
      <c r="K2846">
        <f>HYPERLINK("https://raw.githubusercontent.com/marcosmapl/dataset_imigrantes/main/noticias_filtered/g1/haitianos/2015/07_ago/html/g1_d0866d7c-232a-11ed-b24f-6dbe51e79fca_4205.html", "HTML")</f>
        <v/>
      </c>
      <c r="L2846">
        <f>HYPERLINK("https://raw.githubusercontent.com/marcosmapl/dataset_imigrantes/main/noticias_filtered/g1/haitianos/2015/07_ago/txt/g1_d0866d7c-232a-11ed-b24f-6dbe51e79fca_4205.txt", "TXT")</f>
        <v/>
      </c>
    </row>
    <row r="2847">
      <c r="A2847" s="1" t="n">
        <v>2845</v>
      </c>
      <c r="B2847" t="n">
        <v>2015</v>
      </c>
      <c r="C2847" s="2" t="n">
        <v>42217.78263888889</v>
      </c>
      <c r="D2847" t="inlineStr">
        <is>
          <t>G1</t>
        </is>
      </c>
      <c r="E2847" t="inlineStr">
        <is>
          <t>HAITIANOS</t>
        </is>
      </c>
      <c r="F2847" t="inlineStr"/>
      <c r="G2847" t="inlineStr">
        <is>
          <t>ELLA FRAGADO G1 RS</t>
        </is>
      </c>
      <c r="H2847" t="inlineStr">
        <is>
          <t>JOVENS ACHAM R$ 400 E DEVOLVEM A HAITIANO APÓS DIVULGAR EM RÁDIO NO RS</t>
        </is>
      </c>
      <c r="I2847" t="inlineStr"/>
      <c r="J2847">
        <f>HYPERLINK("http://g1.globo.com/rs/rio-grande-do-sul/noticia/2015/08/jovens-acham-r-400-e-devolvem-haitiano-apos-divulgar-em-radio-no-rs.html", "URL")</f>
        <v/>
      </c>
      <c r="K2847">
        <f>HYPERLINK("https://raw.githubusercontent.com/marcosmapl/dataset_imigrantes/main/noticias_filtered/g1/haitianos/2015/07_ago/html/g1_07832dda-2329-11ed-b24f-6dbe51e79fca_4096.html", "HTML")</f>
        <v/>
      </c>
      <c r="L2847">
        <f>HYPERLINK("https://raw.githubusercontent.com/marcosmapl/dataset_imigrantes/main/noticias_filtered/g1/haitianos/2015/07_ago/txt/g1_07832dda-2329-11ed-b24f-6dbe51e79fca_4096.txt", "TXT")</f>
        <v/>
      </c>
    </row>
    <row r="2848">
      <c r="A2848" s="1" t="n">
        <v>2846</v>
      </c>
      <c r="B2848" t="n">
        <v>2015</v>
      </c>
      <c r="C2848" s="2" t="n">
        <v>42214.71319444444</v>
      </c>
      <c r="D2848" t="inlineStr">
        <is>
          <t>G1</t>
        </is>
      </c>
      <c r="E2848" t="inlineStr">
        <is>
          <t>HAITIANOS</t>
        </is>
      </c>
      <c r="F2848" t="inlineStr"/>
      <c r="G2848" t="inlineStr">
        <is>
          <t>ANA FARACODO G1 SC</t>
        </is>
      </c>
      <c r="H2848" t="inlineStr">
        <is>
          <t>HAITIANA DÁ À LUZ UMA MENINA EM POSTO DE SAÚDE DE PALHOÇA, SC</t>
        </is>
      </c>
      <c r="I2848" t="inlineStr"/>
      <c r="J2848">
        <f>HYPERLINK("http://g1.globo.com/sc/santa-catarina/noticia/2015/07/haitiana-da-luz-uma-menina-em-posto-de-saude-de-palhoca-sc.html", "URL")</f>
        <v/>
      </c>
      <c r="K2848">
        <f>HYPERLINK("https://raw.githubusercontent.com/marcosmapl/dataset_imigrantes/main/noticias_filtered/g1/haitianos/2015/06_jul/html/g1_cacda9f0-2315-11ed-b24f-6dbe51e79fca_3106.html", "HTML")</f>
        <v/>
      </c>
      <c r="L2848">
        <f>HYPERLINK("https://raw.githubusercontent.com/marcosmapl/dataset_imigrantes/main/noticias_filtered/g1/haitianos/2015/06_jul/txt/g1_cacda9f0-2315-11ed-b24f-6dbe51e79fca_3106.txt", "TXT")</f>
        <v/>
      </c>
    </row>
    <row r="2849">
      <c r="A2849" s="1" t="n">
        <v>2847</v>
      </c>
      <c r="B2849" t="n">
        <v>2015</v>
      </c>
      <c r="C2849" s="2" t="n">
        <v>42209.62083333333</v>
      </c>
      <c r="D2849" t="inlineStr">
        <is>
          <t>G1</t>
        </is>
      </c>
      <c r="E2849" t="inlineStr">
        <is>
          <t>HAITIANOS</t>
        </is>
      </c>
      <c r="F2849" t="inlineStr"/>
      <c r="G2849" t="inlineStr">
        <is>
          <t>1 RS</t>
        </is>
      </c>
      <c r="H2849" t="inlineStr">
        <is>
          <t>JUSTIÇA PERMITE QUE ESPOSA E FILHO VISITEM HAITIANO NO RS SEM VISTO</t>
        </is>
      </c>
      <c r="I2849" t="inlineStr"/>
      <c r="J2849">
        <f>HYPERLINK("http://g1.globo.com/rs/rio-grande-do-sul/noticia/2015/07/justica-permite-que-esposa-e-filho-visitem-haitiano-no-rs-sem-visto.html", "URL")</f>
        <v/>
      </c>
      <c r="K2849">
        <f>HYPERLINK("https://raw.githubusercontent.com/marcosmapl/dataset_imigrantes/main/noticias_filtered/g1/haitianos/2015/06_jul/html/g1_8cc73428-230b-11ed-b24f-6dbe51e79fca_2570.html", "HTML")</f>
        <v/>
      </c>
      <c r="L2849">
        <f>HYPERLINK("https://raw.githubusercontent.com/marcosmapl/dataset_imigrantes/main/noticias_filtered/g1/haitianos/2015/06_jul/txt/g1_8cc73428-230b-11ed-b24f-6dbe51e79fca_2570.txt", "TXT")</f>
        <v/>
      </c>
    </row>
    <row r="2850">
      <c r="A2850" s="1" t="n">
        <v>2848</v>
      </c>
      <c r="B2850" t="n">
        <v>2015</v>
      </c>
      <c r="C2850" s="2" t="n">
        <v>42204.93958333333</v>
      </c>
      <c r="D2850" t="inlineStr">
        <is>
          <t>G1</t>
        </is>
      </c>
      <c r="E2850" t="inlineStr">
        <is>
          <t>HAITIANOS</t>
        </is>
      </c>
      <c r="F2850" t="inlineStr"/>
      <c r="G2850" t="inlineStr"/>
      <c r="H2850" t="inlineStr">
        <is>
          <t>IMIGRANTE DIZ QUE MUITOS BRASILEIROS CONSIDERAM HAITIANOS COMO ESCRAVOS</t>
        </is>
      </c>
      <c r="I2850" t="inlineStr"/>
      <c r="J2850">
        <f>HYPERLINK("http://g1.globo.com/fantastico/noticia/2015/07/imigrante-diz-que-muitos-brasileiros-consideram-haitianos-como-escravos.html", "URL")</f>
        <v/>
      </c>
      <c r="K2850">
        <f>HYPERLINK("https://raw.githubusercontent.com/marcosmapl/dataset_imigrantes/main/noticias_filtered/g1/haitianos/2015/06_jul/html/g1_a7c9a16c-22f6-11ed-b24f-6dbe51e79fca_2027.html", "HTML")</f>
        <v/>
      </c>
      <c r="L2850">
        <f>HYPERLINK("https://raw.githubusercontent.com/marcosmapl/dataset_imigrantes/main/noticias_filtered/g1/haitianos/2015/06_jul/txt/g1_a7c9a16c-22f6-11ed-b24f-6dbe51e79fca_2027.txt", "TXT")</f>
        <v/>
      </c>
    </row>
    <row r="2851">
      <c r="A2851" s="1" t="n">
        <v>2849</v>
      </c>
      <c r="B2851" t="n">
        <v>2015</v>
      </c>
      <c r="C2851" s="2" t="n">
        <v>42203.40902777778</v>
      </c>
      <c r="D2851" t="inlineStr">
        <is>
          <t>G1</t>
        </is>
      </c>
      <c r="E2851" t="inlineStr">
        <is>
          <t>HAITIANOS</t>
        </is>
      </c>
      <c r="F2851" t="inlineStr"/>
      <c r="G2851" t="inlineStr">
        <is>
          <t>1 AM</t>
        </is>
      </c>
      <c r="H2851" t="inlineStr">
        <is>
          <t>EVENTO ARRECADA FUNDOS PARA CASA DE CRIANÇAS HAITIANAS, EM MANAUS</t>
        </is>
      </c>
      <c r="I2851" t="inlineStr"/>
      <c r="J2851">
        <f>HYPERLINK("http://g1.globo.com/am/amazonas/noticia/2015/07/evento-arrecada-fundos-para-casa-de-imigrantes-haitianos-em-manaus.html", "URL")</f>
        <v/>
      </c>
      <c r="K2851">
        <f>HYPERLINK("https://raw.githubusercontent.com/marcosmapl/dataset_imigrantes/main/noticias_filtered/g1/haitianos/2015/06_jul/html/g1_50479182-2324-11ed-b24f-6dbe51e79fca_3863.html", "HTML")</f>
        <v/>
      </c>
      <c r="L2851">
        <f>HYPERLINK("https://raw.githubusercontent.com/marcosmapl/dataset_imigrantes/main/noticias_filtered/g1/haitianos/2015/06_jul/txt/g1_50479182-2324-11ed-b24f-6dbe51e79fca_3863.txt", "TXT")</f>
        <v/>
      </c>
    </row>
    <row r="2852">
      <c r="A2852" s="1" t="n">
        <v>2850</v>
      </c>
      <c r="B2852" t="n">
        <v>2015</v>
      </c>
      <c r="C2852" s="2" t="n">
        <v>42201.56666666667</v>
      </c>
      <c r="D2852" t="inlineStr">
        <is>
          <t>G1</t>
        </is>
      </c>
      <c r="E2852" t="inlineStr">
        <is>
          <t>VENEZUELANOS</t>
        </is>
      </c>
      <c r="F2852" t="inlineStr"/>
      <c r="G2852" t="inlineStr">
        <is>
          <t xml:space="preserve"> BRANDÃODO G1 RR</t>
        </is>
      </c>
      <c r="H2852" t="inlineStr">
        <is>
          <t>OPERAÇÃO DA PF EM RR ENCONTRA 16 VENEZUELANAS EM CASA DE PROSTITUIÇÃO</t>
        </is>
      </c>
      <c r="I2852" t="inlineStr"/>
      <c r="J2852">
        <f>HYPERLINK("http://g1.globo.com/rr/roraima/noticia/2015/07/operacao-da-pf-em-rr-encontra-16-venezuelanas-em-casa-de-prostituicao.html", "URL")</f>
        <v/>
      </c>
      <c r="K2852">
        <f>HYPERLINK("https://raw.githubusercontent.com/marcosmapl/dataset_imigrantes/main/noticias_filtered/g1/venezuelanos/2015/06_jul/html/g1_bc390ce4-2307-11ed-b24f-6dbe51e79fca_2338.html", "HTML")</f>
        <v/>
      </c>
      <c r="L2852">
        <f>HYPERLINK("https://raw.githubusercontent.com/marcosmapl/dataset_imigrantes/main/noticias_filtered/g1/venezuelanos/2015/06_jul/txt/g1_bc390ce4-2307-11ed-b24f-6dbe51e79fca_2338.txt", "TXT")</f>
        <v/>
      </c>
    </row>
    <row r="2853">
      <c r="A2853" s="1" t="n">
        <v>2851</v>
      </c>
      <c r="B2853" t="n">
        <v>2015</v>
      </c>
      <c r="C2853" s="2" t="n">
        <v>42200.46597222222</v>
      </c>
      <c r="D2853" t="inlineStr">
        <is>
          <t>G1</t>
        </is>
      </c>
      <c r="E2853" t="inlineStr">
        <is>
          <t>HAITIANOS</t>
        </is>
      </c>
      <c r="F2853" t="inlineStr"/>
      <c r="G2853" t="inlineStr">
        <is>
          <t xml:space="preserve"> FELLETDA BBC BRASIL</t>
        </is>
      </c>
      <c r="H2853" t="inlineStr">
        <is>
          <t>DO ABRIGO LOTADO À FACULDADE DE DIREITO: A SAGA DE UMA HAITIANA NO BRASIL</t>
        </is>
      </c>
      <c r="I2853" t="inlineStr"/>
      <c r="J2853">
        <f>HYPERLINK("http://g1.globo.com/educacao/noticia/2015/07/do-abrigo-lotado-a-faculdade-de-direito-a-saga-de-uma-haitiana-no-brasil.html", "URL")</f>
        <v/>
      </c>
      <c r="K2853">
        <f>HYPERLINK("https://raw.githubusercontent.com/marcosmapl/dataset_imigrantes/main/noticias_filtered/g1/haitianos/2015/06_jul/html/g1_65244ff6-22ec-11ed-b24f-6dbe51e79fca_1656.html", "HTML")</f>
        <v/>
      </c>
      <c r="L2853">
        <f>HYPERLINK("https://raw.githubusercontent.com/marcosmapl/dataset_imigrantes/main/noticias_filtered/g1/haitianos/2015/06_jul/txt/g1_65244ff6-22ec-11ed-b24f-6dbe51e79fca_1656.txt", "TXT")</f>
        <v/>
      </c>
    </row>
    <row r="2854">
      <c r="A2854" s="1" t="n">
        <v>2852</v>
      </c>
      <c r="B2854" t="n">
        <v>2015</v>
      </c>
      <c r="C2854" s="2" t="n">
        <v>42197.31875</v>
      </c>
      <c r="D2854" t="inlineStr">
        <is>
          <t>G1</t>
        </is>
      </c>
      <c r="E2854" t="inlineStr">
        <is>
          <t>HAITIANOS</t>
        </is>
      </c>
      <c r="F2854" t="inlineStr"/>
      <c r="G2854" t="inlineStr">
        <is>
          <t>CIA MACEDODO G1 SÃO PAULO</t>
        </is>
      </c>
      <c r="H2854" t="inlineStr">
        <is>
          <t>HAITIANOS CONSEGUEM EMPREGO EM CONFEITARIA DE CHEF FRANCÊS NOS JARDINS</t>
        </is>
      </c>
      <c r="I2854" t="inlineStr"/>
      <c r="J2854">
        <f>HYPERLINK("http://g1.globo.com/sao-paulo/noticia/2015/07/haitianos-conseguem-emprego-em-confeitaria-de-chef-frances-nos-jardins.html", "URL")</f>
        <v/>
      </c>
      <c r="K2854">
        <f>HYPERLINK("https://raw.githubusercontent.com/marcosmapl/dataset_imigrantes/main/noticias_filtered/g1/haitianos/2015/06_jul/html/g1_b7028d98-22f5-11ed-b24f-6dbe51e79fca_1967.html", "HTML")</f>
        <v/>
      </c>
      <c r="L2854">
        <f>HYPERLINK("https://raw.githubusercontent.com/marcosmapl/dataset_imigrantes/main/noticias_filtered/g1/haitianos/2015/06_jul/txt/g1_b7028d98-22f5-11ed-b24f-6dbe51e79fca_1967.txt", "TXT")</f>
        <v/>
      </c>
    </row>
    <row r="2855">
      <c r="A2855" s="1" t="n">
        <v>2853</v>
      </c>
      <c r="B2855" t="n">
        <v>2015</v>
      </c>
      <c r="C2855" s="2" t="n">
        <v>42193.83541666667</v>
      </c>
      <c r="D2855" t="inlineStr">
        <is>
          <t>G1</t>
        </is>
      </c>
      <c r="E2855" t="inlineStr">
        <is>
          <t>HAITIANOS</t>
        </is>
      </c>
      <c r="F2855" t="inlineStr"/>
      <c r="G2855" t="inlineStr">
        <is>
          <t>1 PR, COM  INFORMAÇÕES DA RPC CASCAVEL</t>
        </is>
      </c>
      <c r="H2855" t="inlineStr">
        <is>
          <t>POLÍCIA INVESTIGA AGÊNCIA DE TURISMO SUSPEITA DE APLICAR GOLPE EM HAITIANOS</t>
        </is>
      </c>
      <c r="I2855" t="inlineStr"/>
      <c r="J2855">
        <f>HYPERLINK("http://g1.globo.com/pr/oeste-sudoeste/noticia/2015/07/policia-investiga-agencia-de-turismo-suspeita-de-aplicar-golpe-em-haitianos.html", "URL")</f>
        <v/>
      </c>
      <c r="K2855">
        <f>HYPERLINK("https://raw.githubusercontent.com/marcosmapl/dataset_imigrantes/main/noticias_filtered/g1/haitianos/2015/06_jul/html/g1_b3f161e4-22f3-11ed-b24f-6dbe51e79fca_1854.html", "HTML")</f>
        <v/>
      </c>
      <c r="L2855">
        <f>HYPERLINK("https://raw.githubusercontent.com/marcosmapl/dataset_imigrantes/main/noticias_filtered/g1/haitianos/2015/06_jul/txt/g1_b3f161e4-22f3-11ed-b24f-6dbe51e79fca_1854.txt", "TXT")</f>
        <v/>
      </c>
    </row>
    <row r="2856">
      <c r="A2856" s="1" t="n">
        <v>2854</v>
      </c>
      <c r="B2856" t="n">
        <v>2015</v>
      </c>
      <c r="C2856" s="2" t="n">
        <v>42189.65</v>
      </c>
      <c r="D2856" t="inlineStr">
        <is>
          <t>G1</t>
        </is>
      </c>
      <c r="E2856" t="inlineStr">
        <is>
          <t>HAITIANOS</t>
        </is>
      </c>
      <c r="F2856" t="inlineStr"/>
      <c r="G2856" t="inlineStr">
        <is>
          <t xml:space="preserve"> RODRIGUESDO G1 AC</t>
        </is>
      </c>
      <c r="H2856" t="inlineStr">
        <is>
          <t>NO AC, JUSTIÇA ESTENDE PRAZO PARA UNIÃO PROVAR QUE ASSUMIU HAITIANOS</t>
        </is>
      </c>
      <c r="I2856" t="inlineStr"/>
      <c r="J2856">
        <f>HYPERLINK("http://g1.globo.com/ac/acre/noticia/2015/07/no-ac-justica-estende-prazo-para-uniao-provar-que-assumiu-haitianos.html", "URL")</f>
        <v/>
      </c>
      <c r="K2856">
        <f>HYPERLINK("https://raw.githubusercontent.com/marcosmapl/dataset_imigrantes/main/noticias_filtered/g1/haitianos/2015/06_jul/html/g1_1bb6b2ac-22ea-11ed-b24f-6dbe51e79fca_1647.html", "HTML")</f>
        <v/>
      </c>
      <c r="L2856">
        <f>HYPERLINK("https://raw.githubusercontent.com/marcosmapl/dataset_imigrantes/main/noticias_filtered/g1/haitianos/2015/06_jul/txt/g1_1bb6b2ac-22ea-11ed-b24f-6dbe51e79fca_1647.txt", "TXT")</f>
        <v/>
      </c>
    </row>
    <row r="2857">
      <c r="A2857" s="1" t="n">
        <v>2855</v>
      </c>
      <c r="B2857" t="n">
        <v>2015</v>
      </c>
      <c r="C2857" s="2" t="n">
        <v>42187.55555555555</v>
      </c>
      <c r="D2857" t="inlineStr">
        <is>
          <t>G1</t>
        </is>
      </c>
      <c r="E2857" t="inlineStr">
        <is>
          <t>HAITIANOS</t>
        </is>
      </c>
      <c r="F2857" t="inlineStr"/>
      <c r="G2857" t="inlineStr">
        <is>
          <t>E  NASCIMENTODO G1 AC</t>
        </is>
      </c>
      <c r="H2857" t="inlineStr">
        <is>
          <t>HAITIANA IMPROVISA PRATOS TÍPICOS DO HAITI PARA IMIGRANTES EM ABRIGO DO AC</t>
        </is>
      </c>
      <c r="I2857" t="inlineStr"/>
      <c r="J2857">
        <f>HYPERLINK("http://g1.globo.com/ac/acre/noticia/2015/07/haitiana-improvisa-pratos-tipicos-do-haiti-para-imigrantes-em-abrigo-do-ac.html", "URL")</f>
        <v/>
      </c>
      <c r="K2857">
        <f>HYPERLINK("https://raw.githubusercontent.com/marcosmapl/dataset_imigrantes/main/noticias_filtered/g1/haitianos/2015/06_jul/html/g1_7d1294fc-230e-11ed-b24f-6dbe51e79fca_2741.html", "HTML")</f>
        <v/>
      </c>
      <c r="L2857">
        <f>HYPERLINK("https://raw.githubusercontent.com/marcosmapl/dataset_imigrantes/main/noticias_filtered/g1/haitianos/2015/06_jul/txt/g1_7d1294fc-230e-11ed-b24f-6dbe51e79fca_2741.txt", "TXT")</f>
        <v/>
      </c>
    </row>
    <row r="2858">
      <c r="A2858" s="1" t="n">
        <v>2856</v>
      </c>
      <c r="B2858" t="n">
        <v>2015</v>
      </c>
      <c r="C2858" s="2" t="n">
        <v>42186.23125</v>
      </c>
      <c r="D2858" t="inlineStr">
        <is>
          <t>G1</t>
        </is>
      </c>
      <c r="E2858" t="inlineStr">
        <is>
          <t>HAITIANOS</t>
        </is>
      </c>
      <c r="F2858" t="inlineStr"/>
      <c r="G2858" t="inlineStr">
        <is>
          <t>1 RS</t>
        </is>
      </c>
      <c r="H2858" t="inlineStr">
        <is>
          <t>MAIS SEIS IMIGRANTES HAITIANOS DESEMBARCAM EM PORTO ALEGRE</t>
        </is>
      </c>
      <c r="I2858" t="inlineStr"/>
      <c r="J2858">
        <f>HYPERLINK("http://g1.globo.com/rs/rio-grande-do-sul/noticia/2015/07/mais-seis-imigrantes-haitianos-desembarcam-em-porto-alegre.html", "URL")</f>
        <v/>
      </c>
      <c r="K2858">
        <f>HYPERLINK("https://raw.githubusercontent.com/marcosmapl/dataset_imigrantes/main/noticias_filtered/g1/haitianos/2015/06_jul/html/g1_872ea4d8-22f2-11ed-b24f-6dbe51e79fca_1803.html", "HTML")</f>
        <v/>
      </c>
      <c r="L2858">
        <f>HYPERLINK("https://raw.githubusercontent.com/marcosmapl/dataset_imigrantes/main/noticias_filtered/g1/haitianos/2015/06_jul/txt/g1_872ea4d8-22f2-11ed-b24f-6dbe51e79fca_1803.txt", "TXT")</f>
        <v/>
      </c>
    </row>
    <row r="2859">
      <c r="A2859" s="1" t="n">
        <v>2857</v>
      </c>
      <c r="B2859" t="n">
        <v>2015</v>
      </c>
      <c r="C2859" s="2" t="n">
        <v>42184.56111111111</v>
      </c>
      <c r="D2859" t="inlineStr">
        <is>
          <t>G1</t>
        </is>
      </c>
      <c r="E2859" t="inlineStr">
        <is>
          <t>HAITIANOS</t>
        </is>
      </c>
      <c r="F2859" t="inlineStr"/>
      <c r="G2859" t="inlineStr">
        <is>
          <t>OAN SANTIAGODO G1 AP</t>
        </is>
      </c>
      <c r="H2859" t="inlineStr">
        <is>
          <t>NO AP, HAITIANOS SÃO FLAGRADOS EM TRAVESSIA IRREGULAR PARA A GUIANA</t>
        </is>
      </c>
      <c r="I2859" t="inlineStr"/>
      <c r="J2859">
        <f>HYPERLINK("http://g1.globo.com/ap/amapa/noticia/2015/06/no-ap-haitianos-sao-flagrados-em-travessia-irregular-para-guiana.html", "URL")</f>
        <v/>
      </c>
      <c r="K2859">
        <f>HYPERLINK("https://raw.githubusercontent.com/marcosmapl/dataset_imigrantes/main/noticias_filtered/g1/haitianos/2015/05_jun/html/g1_dcc52fba-22f3-11ed-b24f-6dbe51e79fca_1862.html", "HTML")</f>
        <v/>
      </c>
      <c r="L2859">
        <f>HYPERLINK("https://raw.githubusercontent.com/marcosmapl/dataset_imigrantes/main/noticias_filtered/g1/haitianos/2015/05_jun/txt/g1_dcc52fba-22f3-11ed-b24f-6dbe51e79fca_1862.txt", "TXT")</f>
        <v/>
      </c>
    </row>
    <row r="2860">
      <c r="A2860" s="1" t="n">
        <v>2858</v>
      </c>
      <c r="B2860" t="n">
        <v>2015</v>
      </c>
      <c r="C2860" s="2" t="n">
        <v>42183.89652777778</v>
      </c>
      <c r="D2860" t="inlineStr">
        <is>
          <t>G1</t>
        </is>
      </c>
      <c r="E2860" t="inlineStr">
        <is>
          <t>HAITIANOS</t>
        </is>
      </c>
      <c r="F2860" t="inlineStr"/>
      <c r="G2860" t="inlineStr">
        <is>
          <t>1 SC</t>
        </is>
      </c>
      <c r="H2860" t="inlineStr">
        <is>
          <t>MAIS 27 HAITIANOS DESEMBARCAM EM FLORIANÓPOLIS NESTE DOMINGO</t>
        </is>
      </c>
      <c r="I2860" t="inlineStr"/>
      <c r="J2860">
        <f>HYPERLINK("http://g1.globo.com/sc/santa-catarina/noticia/2015/06/mais-27-haitianos-desembarcam-em-florianopolis-neste-domingo.html", "URL")</f>
        <v/>
      </c>
      <c r="K2860">
        <f>HYPERLINK("https://raw.githubusercontent.com/marcosmapl/dataset_imigrantes/main/noticias_filtered/g1/haitianos/2015/05_jun/html/g1_e630ecde-22ed-11ed-b24f-6dbe51e79fca_1691.html", "HTML")</f>
        <v/>
      </c>
      <c r="L2860">
        <f>HYPERLINK("https://raw.githubusercontent.com/marcosmapl/dataset_imigrantes/main/noticias_filtered/g1/haitianos/2015/05_jun/txt/g1_e630ecde-22ed-11ed-b24f-6dbe51e79fca_1691.txt", "TXT")</f>
        <v/>
      </c>
    </row>
    <row r="2861">
      <c r="A2861" s="1" t="n">
        <v>2859</v>
      </c>
      <c r="B2861" t="n">
        <v>2015</v>
      </c>
      <c r="C2861" s="2" t="n">
        <v>42183.62569444445</v>
      </c>
      <c r="D2861" t="inlineStr">
        <is>
          <t>G1</t>
        </is>
      </c>
      <c r="E2861" t="inlineStr">
        <is>
          <t>HAITIANOS</t>
        </is>
      </c>
      <c r="F2861" t="inlineStr"/>
      <c r="G2861" t="inlineStr">
        <is>
          <t>ANE LISBOADO G1 RS</t>
        </is>
      </c>
      <c r="H2861" t="inlineStr">
        <is>
          <t>ÔNIBUS COM 28 IMIGRANTES HAITIANOS CHEGA A PORTO ALEGRE</t>
        </is>
      </c>
      <c r="I2861" t="inlineStr"/>
      <c r="J2861">
        <f>HYPERLINK("http://g1.globo.com/rs/rio-grande-do-sul/noticia/2015/06/onibus-com-28-haitianos-desembarca-em-porto-alegre.html", "URL")</f>
        <v/>
      </c>
      <c r="K2861">
        <f>HYPERLINK("https://raw.githubusercontent.com/marcosmapl/dataset_imigrantes/main/noticias_filtered/g1/haitianos/2015/05_jun/html/g1_b979506e-22f7-11ed-b24f-6dbe51e79fca_2092.html", "HTML")</f>
        <v/>
      </c>
      <c r="L2861">
        <f>HYPERLINK("https://raw.githubusercontent.com/marcosmapl/dataset_imigrantes/main/noticias_filtered/g1/haitianos/2015/05_jun/txt/g1_b979506e-22f7-11ed-b24f-6dbe51e79fca_2092.txt", "TXT")</f>
        <v/>
      </c>
    </row>
    <row r="2862">
      <c r="A2862" s="1" t="n">
        <v>2860</v>
      </c>
      <c r="B2862" t="n">
        <v>2015</v>
      </c>
      <c r="C2862" s="2" t="n">
        <v>42182.94513888889</v>
      </c>
      <c r="D2862" t="inlineStr">
        <is>
          <t>G1</t>
        </is>
      </c>
      <c r="E2862" t="inlineStr">
        <is>
          <t>HAITIANOS</t>
        </is>
      </c>
      <c r="F2862" t="inlineStr"/>
      <c r="G2862" t="inlineStr">
        <is>
          <t>1 SC</t>
        </is>
      </c>
      <c r="H2862" t="inlineStr">
        <is>
          <t>NOVO GRUPO DE HAITIANOS VINDOS DO ACRE DESEMBARCA EM FLORIANÓPOLIS</t>
        </is>
      </c>
      <c r="I2862" t="inlineStr"/>
      <c r="J2862">
        <f>HYPERLINK("http://g1.globo.com/sc/santa-catarina/noticia/2015/06/novo-grupo-de-haitianos-vindos-do-acre-desembarca-em-florianopolis.html", "URL")</f>
        <v/>
      </c>
      <c r="K2862">
        <f>HYPERLINK("https://raw.githubusercontent.com/marcosmapl/dataset_imigrantes/main/noticias_filtered/g1/haitianos/2015/05_jun/html/g1_f5e76eda-22f9-11ed-b24f-6dbe51e79fca_2193.html", "HTML")</f>
        <v/>
      </c>
      <c r="L2862">
        <f>HYPERLINK("https://raw.githubusercontent.com/marcosmapl/dataset_imigrantes/main/noticias_filtered/g1/haitianos/2015/05_jun/txt/g1_f5e76eda-22f9-11ed-b24f-6dbe51e79fca_2193.txt", "TXT")</f>
        <v/>
      </c>
    </row>
    <row r="2863">
      <c r="A2863" s="1" t="n">
        <v>2861</v>
      </c>
      <c r="B2863" t="n">
        <v>2015</v>
      </c>
      <c r="C2863" s="2" t="n">
        <v>42181.72916666666</v>
      </c>
      <c r="D2863" t="inlineStr">
        <is>
          <t>G1</t>
        </is>
      </c>
      <c r="E2863" t="inlineStr">
        <is>
          <t>HAITIANOS</t>
        </is>
      </c>
      <c r="F2863" t="inlineStr"/>
      <c r="G2863" t="inlineStr">
        <is>
          <t>1 RS</t>
        </is>
      </c>
      <c r="H2863" t="inlineStr">
        <is>
          <t>PORTO ALEGRE DEVE RECEBER DOIS NOVOS ÔNIBUS COM HAITIANOS ATÉ DOMINGO</t>
        </is>
      </c>
      <c r="I2863" t="inlineStr"/>
      <c r="J2863">
        <f>HYPERLINK("http://g1.globo.com/rs/rio-grande-do-sul/noticia/2015/06/porto-alegre-deve-receber-dois-novos-onibus-com-haitianos-ate-domingo.html", "URL")</f>
        <v/>
      </c>
      <c r="K2863">
        <f>HYPERLINK("https://raw.githubusercontent.com/marcosmapl/dataset_imigrantes/main/noticias_filtered/g1/haitianos/2015/05_jun/html/g1_ba1caca2-22f5-11ed-b24f-6dbe51e79fca_1968.html", "HTML")</f>
        <v/>
      </c>
      <c r="L2863">
        <f>HYPERLINK("https://raw.githubusercontent.com/marcosmapl/dataset_imigrantes/main/noticias_filtered/g1/haitianos/2015/05_jun/txt/g1_ba1caca2-22f5-11ed-b24f-6dbe51e79fca_1968.txt", "TXT")</f>
        <v/>
      </c>
    </row>
    <row r="2864">
      <c r="A2864" s="1" t="n">
        <v>2862</v>
      </c>
      <c r="B2864" t="n">
        <v>2015</v>
      </c>
      <c r="C2864" s="2" t="n">
        <v>42180.92430555556</v>
      </c>
      <c r="D2864" t="inlineStr">
        <is>
          <t>G1</t>
        </is>
      </c>
      <c r="E2864" t="inlineStr">
        <is>
          <t>HAITIANOS</t>
        </is>
      </c>
      <c r="F2864" t="inlineStr"/>
      <c r="G2864" t="inlineStr">
        <is>
          <t>RANCE PRESSE</t>
        </is>
      </c>
      <c r="H2864" t="inlineStr">
        <is>
          <t>GUARDA COSTEIRA DOS EUA REPATRIA 55 CUBANOS E 18 HAITIANOS</t>
        </is>
      </c>
      <c r="I2864" t="inlineStr"/>
      <c r="J2864">
        <f>HYPERLINK("http://g1.globo.com/mundo/noticia/2015/06/guarda-costeira-dos-eua-repatria-55-cubanos-e-18-haitianos.html", "URL")</f>
        <v/>
      </c>
      <c r="K2864">
        <f>HYPERLINK("https://raw.githubusercontent.com/marcosmapl/dataset_imigrantes/main/noticias_filtered/g1/haitianos/2015/05_jun/html/g1_7a1a7658-22f4-11ed-b24f-6dbe51e79fca_1892.html", "HTML")</f>
        <v/>
      </c>
      <c r="L2864">
        <f>HYPERLINK("https://raw.githubusercontent.com/marcosmapl/dataset_imigrantes/main/noticias_filtered/g1/haitianos/2015/05_jun/txt/g1_7a1a7658-22f4-11ed-b24f-6dbe51e79fca_1892.txt", "TXT")</f>
        <v/>
      </c>
    </row>
    <row r="2865">
      <c r="A2865" s="1" t="n">
        <v>2863</v>
      </c>
      <c r="B2865" t="n">
        <v>2015</v>
      </c>
      <c r="C2865" s="2" t="n">
        <v>42179.90625</v>
      </c>
      <c r="D2865" t="inlineStr">
        <is>
          <t>G1</t>
        </is>
      </c>
      <c r="E2865" t="inlineStr">
        <is>
          <t>HAITIANOS</t>
        </is>
      </c>
      <c r="F2865" t="inlineStr"/>
      <c r="G2865" t="inlineStr">
        <is>
          <t>1 SC</t>
        </is>
      </c>
      <c r="H2865" t="inlineStr">
        <is>
          <t>AO MENOS MAIS 10 HAITIANOS DEVEM CHEGAR EM SC ATÉ O FIM DE SEMANA</t>
        </is>
      </c>
      <c r="I2865" t="inlineStr"/>
      <c r="J2865">
        <f>HYPERLINK("http://g1.globo.com/sc/santa-catarina/noticia/2015/06/pelo-menos-10-haitianos-devem-chegar-em-sc-ate-o-fim-de-semana.html", "URL")</f>
        <v/>
      </c>
      <c r="K2865">
        <f>HYPERLINK("https://raw.githubusercontent.com/marcosmapl/dataset_imigrantes/main/noticias_filtered/g1/haitianos/2015/05_jun/html/g1_5490c8c2-22f1-11ed-b24f-6dbe51e79fca_1744.html", "HTML")</f>
        <v/>
      </c>
      <c r="L2865">
        <f>HYPERLINK("https://raw.githubusercontent.com/marcosmapl/dataset_imigrantes/main/noticias_filtered/g1/haitianos/2015/05_jun/txt/g1_5490c8c2-22f1-11ed-b24f-6dbe51e79fca_1744.txt", "TXT")</f>
        <v/>
      </c>
    </row>
    <row r="2866">
      <c r="A2866" s="1" t="n">
        <v>2864</v>
      </c>
      <c r="B2866" t="n">
        <v>2015</v>
      </c>
      <c r="C2866" s="2" t="n">
        <v>42179.50625</v>
      </c>
      <c r="D2866" t="inlineStr">
        <is>
          <t>G1</t>
        </is>
      </c>
      <c r="E2866" t="inlineStr">
        <is>
          <t>HAITIANOS</t>
        </is>
      </c>
      <c r="F2866" t="inlineStr"/>
      <c r="G2866" t="inlineStr">
        <is>
          <t>1 RS</t>
        </is>
      </c>
      <c r="H2866" t="inlineStr">
        <is>
          <t>MAIS HAITIANOS SÃO ESPERADOS EM PORTO ALEGRE NOS PRÓXIMOS DIAS</t>
        </is>
      </c>
      <c r="I2866" t="inlineStr"/>
      <c r="J2866">
        <f>HYPERLINK("http://g1.globo.com/rs/rio-grande-do-sul/noticia/2015/06/mais-haitianos-sao-esperados-em-porto-alegre-nos-proximos-dias.html", "URL")</f>
        <v/>
      </c>
      <c r="K2866">
        <f>HYPERLINK("https://raw.githubusercontent.com/marcosmapl/dataset_imigrantes/main/noticias_filtered/g1/haitianos/2015/05_jun/html/g1_d3083548-22f9-11ed-b24f-6dbe51e79fca_2186.html", "HTML")</f>
        <v/>
      </c>
      <c r="L2866">
        <f>HYPERLINK("https://raw.githubusercontent.com/marcosmapl/dataset_imigrantes/main/noticias_filtered/g1/haitianos/2015/05_jun/txt/g1_d3083548-22f9-11ed-b24f-6dbe51e79fca_2186.txt", "TXT")</f>
        <v/>
      </c>
    </row>
    <row r="2867">
      <c r="A2867" s="1" t="n">
        <v>2865</v>
      </c>
      <c r="B2867" t="n">
        <v>2015</v>
      </c>
      <c r="C2867" s="2" t="n">
        <v>42178.63958333333</v>
      </c>
      <c r="D2867" t="inlineStr">
        <is>
          <t>G1</t>
        </is>
      </c>
      <c r="E2867" t="inlineStr">
        <is>
          <t>HAITIANOS</t>
        </is>
      </c>
      <c r="F2867" t="inlineStr"/>
      <c r="G2867" t="inlineStr">
        <is>
          <t>1 SUL DE MINAS</t>
        </is>
      </c>
      <c r="H2867" t="inlineStr">
        <is>
          <t>HAITIANO MOBILIZA AMIGOS BRASILEIROS PARA TRAZER FAMÍLIA PARA PASSOS, MG</t>
        </is>
      </c>
      <c r="I2867" t="inlineStr"/>
      <c r="J2867">
        <f>HYPERLINK("http://g1.globo.com/mg/sul-de-minas/noticia/2015/06/haitiano-mobiliza-amigos-brasileiros-para-trazer-familia-para-passos-mg.html", "URL")</f>
        <v/>
      </c>
      <c r="K2867">
        <f>HYPERLINK("https://raw.githubusercontent.com/marcosmapl/dataset_imigrantes/main/noticias_filtered/g1/haitianos/2015/05_jun/html/g1_1ccc903a-2308-11ed-b24f-6dbe51e79fca_2365.html", "HTML")</f>
        <v/>
      </c>
      <c r="L2867">
        <f>HYPERLINK("https://raw.githubusercontent.com/marcosmapl/dataset_imigrantes/main/noticias_filtered/g1/haitianos/2015/05_jun/txt/g1_1ccc903a-2308-11ed-b24f-6dbe51e79fca_2365.txt", "TXT")</f>
        <v/>
      </c>
    </row>
    <row r="2868">
      <c r="A2868" s="1" t="n">
        <v>2866</v>
      </c>
      <c r="B2868" t="n">
        <v>2015</v>
      </c>
      <c r="C2868" s="2" t="n">
        <v>42178.60972222222</v>
      </c>
      <c r="D2868" t="inlineStr">
        <is>
          <t>G1</t>
        </is>
      </c>
      <c r="E2868" t="inlineStr">
        <is>
          <t>HAITIANOS</t>
        </is>
      </c>
      <c r="F2868" t="inlineStr"/>
      <c r="G2868" t="inlineStr">
        <is>
          <t>1 SC</t>
        </is>
      </c>
      <c r="H2868" t="inlineStr">
        <is>
          <t>NOVA LEVA DE IMIGRANTES HAITIANOS DEVE CHEGAR A SC, DIZ GOVERNO</t>
        </is>
      </c>
      <c r="I2868" t="inlineStr"/>
      <c r="J2868">
        <f>HYPERLINK("http://g1.globo.com/sc/santa-catarina/noticia/2015/06/nova-leva-de-imigrantes-haitianos-deve-chegar-sc-diz-governo.html", "URL")</f>
        <v/>
      </c>
      <c r="K2868">
        <f>HYPERLINK("https://raw.githubusercontent.com/marcosmapl/dataset_imigrantes/main/noticias_filtered/g1/haitianos/2015/05_jun/html/g1_ccf98f42-22ec-11ed-b24f-6dbe51e79fca_1668.html", "HTML")</f>
        <v/>
      </c>
      <c r="L2868">
        <f>HYPERLINK("https://raw.githubusercontent.com/marcosmapl/dataset_imigrantes/main/noticias_filtered/g1/haitianos/2015/05_jun/txt/g1_ccf98f42-22ec-11ed-b24f-6dbe51e79fca_1668.txt", "TXT")</f>
        <v/>
      </c>
    </row>
    <row r="2869">
      <c r="A2869" s="1" t="n">
        <v>2867</v>
      </c>
      <c r="B2869" t="n">
        <v>2015</v>
      </c>
      <c r="C2869" s="2" t="n">
        <v>42175.53263888889</v>
      </c>
      <c r="D2869" t="inlineStr">
        <is>
          <t>G1</t>
        </is>
      </c>
      <c r="E2869" t="inlineStr">
        <is>
          <t>HAITIANOS</t>
        </is>
      </c>
      <c r="F2869" t="inlineStr"/>
      <c r="G2869" t="inlineStr">
        <is>
          <t>1 SÃO PAULO</t>
        </is>
      </c>
      <c r="H2869" t="inlineStr">
        <is>
          <t>SP RECEBE NOVO GRUPO DE HAITIANOS VINDOS DO ACRE</t>
        </is>
      </c>
      <c r="I2869" t="inlineStr"/>
      <c r="J2869">
        <f>HYPERLINK("http://g1.globo.com/sao-paulo/noticia/2015/06/sp-recebe-novo-grupo-de-haitianos-vindo-do-acre.html", "URL")</f>
        <v/>
      </c>
      <c r="K2869">
        <f>HYPERLINK("https://raw.githubusercontent.com/marcosmapl/dataset_imigrantes/main/noticias_filtered/g1/haitianos/2015/05_jun/html/g1_718f8b24-22f2-11ed-b24f-6dbe51e79fca_1798.html", "HTML")</f>
        <v/>
      </c>
      <c r="L2869">
        <f>HYPERLINK("https://raw.githubusercontent.com/marcosmapl/dataset_imigrantes/main/noticias_filtered/g1/haitianos/2015/05_jun/txt/g1_718f8b24-22f2-11ed-b24f-6dbe51e79fca_1798.txt", "TXT")</f>
        <v/>
      </c>
    </row>
    <row r="2870">
      <c r="A2870" s="1" t="n">
        <v>2868</v>
      </c>
      <c r="B2870" t="n">
        <v>2015</v>
      </c>
      <c r="C2870" s="2" t="n">
        <v>42174.44652777778</v>
      </c>
      <c r="D2870" t="inlineStr">
        <is>
          <t>G1</t>
        </is>
      </c>
      <c r="E2870" t="inlineStr">
        <is>
          <t>HAITIANOS</t>
        </is>
      </c>
      <c r="F2870" t="inlineStr"/>
      <c r="G2870" t="inlineStr">
        <is>
          <t>1 SÃO PAULO</t>
        </is>
      </c>
      <c r="H2870" t="inlineStr">
        <is>
          <t>CERCA DE 900 HAITIANOS DEVEM CHEGAR A SP NOS PRÓXIMOS DOIS MESES</t>
        </is>
      </c>
      <c r="I2870" t="inlineStr"/>
      <c r="J2870">
        <f>HYPERLINK("http://g1.globo.com/sao-paulo/noticia/2015/06/cerca-de-900-haitianos-devem-chegar-sp-nos-proximos-dois-meses.html", "URL")</f>
        <v/>
      </c>
      <c r="K2870">
        <f>HYPERLINK("https://raw.githubusercontent.com/marcosmapl/dataset_imigrantes/main/noticias_filtered/g1/haitianos/2015/05_jun/html/g1_6186e63c-22f7-11ed-b24f-6dbe51e79fca_2075.html", "HTML")</f>
        <v/>
      </c>
      <c r="L2870">
        <f>HYPERLINK("https://raw.githubusercontent.com/marcosmapl/dataset_imigrantes/main/noticias_filtered/g1/haitianos/2015/05_jun/txt/g1_6186e63c-22f7-11ed-b24f-6dbe51e79fca_2075.txt", "TXT")</f>
        <v/>
      </c>
    </row>
    <row r="2871">
      <c r="A2871" s="1" t="n">
        <v>2869</v>
      </c>
      <c r="B2871" t="n">
        <v>2015</v>
      </c>
      <c r="C2871" s="2" t="n">
        <v>42171.94375</v>
      </c>
      <c r="D2871" t="inlineStr">
        <is>
          <t>G1</t>
        </is>
      </c>
      <c r="E2871" t="inlineStr">
        <is>
          <t>HAITIANOS</t>
        </is>
      </c>
      <c r="F2871" t="inlineStr"/>
      <c r="G2871" t="inlineStr">
        <is>
          <t>RANCE PRESSE</t>
        </is>
      </c>
      <c r="H2871" t="inlineStr">
        <is>
          <t>GUARDA COSTEIRA DOS EUA RESGATA 54 HAITIANOS DE BARCO SUPERLOTADO</t>
        </is>
      </c>
      <c r="I2871" t="inlineStr"/>
      <c r="J2871">
        <f>HYPERLINK("http://g1.globo.com/mundo/noticia/2015/06/guarda-costeira-dos-eua-resgata-54-haitianos-de-barco-superlotado.html", "URL")</f>
        <v/>
      </c>
      <c r="K2871">
        <f>HYPERLINK("https://raw.githubusercontent.com/marcosmapl/dataset_imigrantes/main/noticias_filtered/g1/haitianos/2015/05_jun/html/g1_e88fbe02-22f1-11ed-b24f-6dbe51e79fca_1770.html", "HTML")</f>
        <v/>
      </c>
      <c r="L2871">
        <f>HYPERLINK("https://raw.githubusercontent.com/marcosmapl/dataset_imigrantes/main/noticias_filtered/g1/haitianos/2015/05_jun/txt/g1_e88fbe02-22f1-11ed-b24f-6dbe51e79fca_1770.txt", "TXT")</f>
        <v/>
      </c>
    </row>
    <row r="2872">
      <c r="A2872" s="1" t="n">
        <v>2870</v>
      </c>
      <c r="B2872" t="n">
        <v>2015</v>
      </c>
      <c r="C2872" s="2" t="n">
        <v>42170.81805555556</v>
      </c>
      <c r="D2872" t="inlineStr">
        <is>
          <t>G1</t>
        </is>
      </c>
      <c r="E2872" t="inlineStr">
        <is>
          <t>HAITIANOS</t>
        </is>
      </c>
      <c r="F2872" t="inlineStr"/>
      <c r="G2872" t="inlineStr">
        <is>
          <t>ANE STOCHERODO G1, EM SÃO PAULO</t>
        </is>
      </c>
      <c r="H2872" t="inlineStr">
        <is>
          <t>MILITAR DA TROPA DE ELITE DO EXÉRCITO BRASILEIRO É BALEADO NO HAITI</t>
        </is>
      </c>
      <c r="I2872" t="inlineStr"/>
      <c r="J2872">
        <f>HYPERLINK("http://g1.globo.com/mundo/noticia/2015/06/militar-da-tropa-de-elite-do-exercito-brasileiro-e-baleado-no-haiti.html", "URL")</f>
        <v/>
      </c>
      <c r="K2872">
        <f>HYPERLINK("https://raw.githubusercontent.com/marcosmapl/dataset_imigrantes/main/noticias_filtered/g1/haitianos/2015/05_jun/html/g1_d6dd75de-231c-11ed-b24f-6dbe51e79fca_3468.html", "HTML")</f>
        <v/>
      </c>
      <c r="L2872">
        <f>HYPERLINK("https://raw.githubusercontent.com/marcosmapl/dataset_imigrantes/main/noticias_filtered/g1/haitianos/2015/05_jun/txt/g1_d6dd75de-231c-11ed-b24f-6dbe51e79fca_3468.txt", "TXT")</f>
        <v/>
      </c>
    </row>
    <row r="2873">
      <c r="A2873" s="1" t="n">
        <v>2871</v>
      </c>
      <c r="B2873" t="n">
        <v>2015</v>
      </c>
      <c r="C2873" s="2" t="n">
        <v>42167.29513888889</v>
      </c>
      <c r="D2873" t="inlineStr">
        <is>
          <t>G1</t>
        </is>
      </c>
      <c r="E2873" t="inlineStr">
        <is>
          <t>HAITIANOS</t>
        </is>
      </c>
      <c r="F2873" t="inlineStr"/>
      <c r="G2873" t="inlineStr">
        <is>
          <t>PE TRUDADO G1 RS, EM CANOAS</t>
        </is>
      </c>
      <c r="H2873" t="inlineStr">
        <is>
          <t>'O BRASIL É BOM PARA MIM', DIZ HAITIANO HOSTILIZADO EM VÍDEO NO RS</t>
        </is>
      </c>
      <c r="I2873" t="inlineStr"/>
      <c r="J2873">
        <f>HYPERLINK("http://g1.globo.com/rs/rio-grande-do-sul/noticia/2015/06/o-brasil-e-bom-para-mim-diz-haitiano-hostilizado-em-video-no-rs.html", "URL")</f>
        <v/>
      </c>
      <c r="K2873">
        <f>HYPERLINK("https://raw.githubusercontent.com/marcosmapl/dataset_imigrantes/main/noticias_filtered/g1/haitianos/2015/05_jun/html/g1_f2093240-2325-11ed-b24f-6dbe51e79fca_3944.html", "HTML")</f>
        <v/>
      </c>
      <c r="L2873">
        <f>HYPERLINK("https://raw.githubusercontent.com/marcosmapl/dataset_imigrantes/main/noticias_filtered/g1/haitianos/2015/05_jun/txt/g1_f2093240-2325-11ed-b24f-6dbe51e79fca_3944.txt", "TXT")</f>
        <v/>
      </c>
    </row>
    <row r="2874">
      <c r="A2874" s="1" t="n">
        <v>2872</v>
      </c>
      <c r="B2874" t="n">
        <v>2015</v>
      </c>
      <c r="C2874" s="2" t="n">
        <v>42166.65763888889</v>
      </c>
      <c r="D2874" t="inlineStr">
        <is>
          <t>G1</t>
        </is>
      </c>
      <c r="E2874" t="inlineStr">
        <is>
          <t>HAITIANOS</t>
        </is>
      </c>
      <c r="F2874" t="inlineStr"/>
      <c r="G2874" t="inlineStr">
        <is>
          <t>RANCE PRESSE</t>
        </is>
      </c>
      <c r="H2874" t="inlineStr">
        <is>
          <t>RELATÓRIO DIZ QUE CASOS DE EXPLORAÇÃO SEXUAL POR SOLDADOS SÃO FREQUENTES</t>
        </is>
      </c>
      <c r="I2874" t="inlineStr"/>
      <c r="J2874">
        <f>HYPERLINK("http://g1.globo.com/mundo/noticia/2015/06/relatorio-diz-que-casos-de-exploracao-sexual-por-soldados-sao-frequentes.html", "URL")</f>
        <v/>
      </c>
      <c r="K2874">
        <f>HYPERLINK("https://raw.githubusercontent.com/marcosmapl/dataset_imigrantes/main/noticias_filtered/g1/haitianos/2015/05_jun/html/g1_61fd8f6a-2312-11ed-b24f-6dbe51e79fca_2964.html", "HTML")</f>
        <v/>
      </c>
      <c r="L2874">
        <f>HYPERLINK("https://raw.githubusercontent.com/marcosmapl/dataset_imigrantes/main/noticias_filtered/g1/haitianos/2015/05_jun/txt/g1_61fd8f6a-2312-11ed-b24f-6dbe51e79fca_2964.txt", "TXT")</f>
        <v/>
      </c>
    </row>
    <row r="2875">
      <c r="A2875" s="1" t="n">
        <v>2873</v>
      </c>
      <c r="B2875" t="n">
        <v>2015</v>
      </c>
      <c r="C2875" s="2" t="n">
        <v>42163.87916666667</v>
      </c>
      <c r="D2875" t="inlineStr">
        <is>
          <t>G1</t>
        </is>
      </c>
      <c r="E2875" t="inlineStr">
        <is>
          <t>HAITIANOS</t>
        </is>
      </c>
      <c r="F2875" t="inlineStr"/>
      <c r="G2875" t="inlineStr">
        <is>
          <t>ELLA FRAGADO G1 RS</t>
        </is>
      </c>
      <c r="H2875" t="inlineStr">
        <is>
          <t>'É UM DELITO GRAVE', DIZ POLICIAL QUE FEZ BO SOBRE VÍDEO DE HAITIANO NO RS</t>
        </is>
      </c>
      <c r="I2875" t="inlineStr"/>
      <c r="J2875">
        <f>HYPERLINK("http://g1.globo.com/rs/rio-grande-do-sul/noticia/2015/06/e-um-delito-grave-diz-policial-que-fez-bo-sobre-video-de-haitiano-no-rs.html", "URL")</f>
        <v/>
      </c>
      <c r="K2875">
        <f>HYPERLINK("https://raw.githubusercontent.com/marcosmapl/dataset_imigrantes/main/noticias_filtered/g1/haitianos/2015/05_jun/html/g1_e456b29c-2313-11ed-b24f-6dbe51e79fca_3033.html", "HTML")</f>
        <v/>
      </c>
      <c r="L2875">
        <f>HYPERLINK("https://raw.githubusercontent.com/marcosmapl/dataset_imigrantes/main/noticias_filtered/g1/haitianos/2015/05_jun/txt/g1_e456b29c-2313-11ed-b24f-6dbe51e79fca_3033.txt", "TXT")</f>
        <v/>
      </c>
    </row>
    <row r="2876">
      <c r="A2876" s="1" t="n">
        <v>2874</v>
      </c>
      <c r="B2876" t="n">
        <v>2015</v>
      </c>
      <c r="C2876" s="2" t="n">
        <v>42163.72361111111</v>
      </c>
      <c r="D2876" t="inlineStr">
        <is>
          <t>G1</t>
        </is>
      </c>
      <c r="E2876" t="inlineStr">
        <is>
          <t>HAITIANOS</t>
        </is>
      </c>
      <c r="F2876" t="inlineStr"/>
      <c r="G2876" t="inlineStr">
        <is>
          <t>1 RS</t>
        </is>
      </c>
      <c r="H2876" t="inlineStr">
        <is>
          <t>POLÍCIA VAI INVESTIGAR CASO DE HOMEM QUE IRONIZOU HAITIANO EM VÍDEO NO RS</t>
        </is>
      </c>
      <c r="I2876" t="inlineStr"/>
      <c r="J2876">
        <f>HYPERLINK("http://g1.globo.com/rs/rio-grande-do-sul/noticia/2015/06/policia-vai-investigar-caso-de-homem-que-ironizou-haitiano-em-video-no-rs.html", "URL")</f>
        <v/>
      </c>
      <c r="K2876">
        <f>HYPERLINK("https://raw.githubusercontent.com/marcosmapl/dataset_imigrantes/main/noticias_filtered/g1/haitianos/2015/05_jun/html/g1_62033e82-2313-11ed-b24f-6dbe51e79fca_3008.html", "HTML")</f>
        <v/>
      </c>
      <c r="L2876">
        <f>HYPERLINK("https://raw.githubusercontent.com/marcosmapl/dataset_imigrantes/main/noticias_filtered/g1/haitianos/2015/05_jun/txt/g1_62033e82-2313-11ed-b24f-6dbe51e79fca_3008.txt", "TXT")</f>
        <v/>
      </c>
    </row>
    <row r="2877">
      <c r="A2877" s="1" t="n">
        <v>2875</v>
      </c>
      <c r="B2877" t="n">
        <v>2015</v>
      </c>
      <c r="C2877" s="2" t="n">
        <v>42163.60416666666</v>
      </c>
      <c r="D2877" t="inlineStr">
        <is>
          <t>G1</t>
        </is>
      </c>
      <c r="E2877" t="inlineStr">
        <is>
          <t>HAITIANOS</t>
        </is>
      </c>
      <c r="F2877" t="inlineStr"/>
      <c r="G2877" t="inlineStr">
        <is>
          <t>1 SC</t>
        </is>
      </c>
      <c r="H2877" t="inlineStr">
        <is>
          <t>DEBATE DISCUTE OS DESAFIOS DA IMIGRAÇÃO HAITIANA EM SANTA CATARINA</t>
        </is>
      </c>
      <c r="I2877" t="inlineStr"/>
      <c r="J2877">
        <f>HYPERLINK("http://g1.globo.com/sc/santa-catarina/noticia/2015/06/debate-discute-os-desafios-da-imigracao-haitiana-em-santa-catarina.html", "URL")</f>
        <v/>
      </c>
      <c r="K2877">
        <f>HYPERLINK("https://raw.githubusercontent.com/marcosmapl/dataset_imigrantes/main/noticias_filtered/g1/haitianos/2015/05_jun/html/g1_e12e15cc-2315-11ed-b24f-6dbe51e79fca_3112.html", "HTML")</f>
        <v/>
      </c>
      <c r="L2877">
        <f>HYPERLINK("https://raw.githubusercontent.com/marcosmapl/dataset_imigrantes/main/noticias_filtered/g1/haitianos/2015/05_jun/txt/g1_e12e15cc-2315-11ed-b24f-6dbe51e79fca_3112.txt", "TXT")</f>
        <v/>
      </c>
    </row>
    <row r="2878">
      <c r="A2878" s="1" t="n">
        <v>2876</v>
      </c>
      <c r="B2878" t="n">
        <v>2015</v>
      </c>
      <c r="C2878" s="2" t="n">
        <v>42160.83055555556</v>
      </c>
      <c r="D2878" t="inlineStr">
        <is>
          <t>G1</t>
        </is>
      </c>
      <c r="E2878" t="inlineStr">
        <is>
          <t>HAITIANOS</t>
        </is>
      </c>
      <c r="F2878" t="inlineStr"/>
      <c r="G2878" t="inlineStr">
        <is>
          <t xml:space="preserve"> MARCELDO G1 AC</t>
        </is>
      </c>
      <c r="H2878" t="inlineStr">
        <is>
          <t>UNIÃO TERÁ 15 DIAS PARA ASSUMIR HAITIANOS QUE ENTRAM NO PAÍS PELO AC</t>
        </is>
      </c>
      <c r="I2878" t="inlineStr"/>
      <c r="J2878">
        <f>HYPERLINK("http://g1.globo.com/ac/acre/noticia/2015/06/justica-da-15-dias-para-que-uniao-assuma-haitianos-que-entram-no-pais.html", "URL")</f>
        <v/>
      </c>
      <c r="K2878">
        <f>HYPERLINK("https://raw.githubusercontent.com/marcosmapl/dataset_imigrantes/main/noticias_filtered/g1/haitianos/2015/05_jun/html/g1_0defb8cc-22ee-11ed-b24f-6dbe51e79fca_1697.html", "HTML")</f>
        <v/>
      </c>
      <c r="L2878">
        <f>HYPERLINK("https://raw.githubusercontent.com/marcosmapl/dataset_imigrantes/main/noticias_filtered/g1/haitianos/2015/05_jun/txt/g1_0defb8cc-22ee-11ed-b24f-6dbe51e79fca_1697.txt", "TXT")</f>
        <v/>
      </c>
    </row>
    <row r="2879">
      <c r="A2879" s="1" t="n">
        <v>2877</v>
      </c>
      <c r="B2879" t="n">
        <v>2015</v>
      </c>
      <c r="C2879" s="2" t="n">
        <v>42159.56666666667</v>
      </c>
      <c r="D2879" t="inlineStr">
        <is>
          <t>G1</t>
        </is>
      </c>
      <c r="E2879" t="inlineStr">
        <is>
          <t>HAITIANOS</t>
        </is>
      </c>
      <c r="F2879" t="inlineStr"/>
      <c r="G2879" t="inlineStr">
        <is>
          <t>N RAMALHODO G1, EM BRASÍLIA</t>
        </is>
      </c>
      <c r="H2879" t="inlineStr">
        <is>
          <t>GOVERNO VAI AUMENTAR VISTOS PARA HAITIANOS VIREM AO BRASIL, DIZ MINISTRO</t>
        </is>
      </c>
      <c r="I2879" t="inlineStr"/>
      <c r="J2879">
        <f>HYPERLINK("http://g1.globo.com/politica/noticia/2015/06/governo-vai-aumentar-vistos-para-haitianos-virem-ao-brasil-diz-ministro.html", "URL")</f>
        <v/>
      </c>
      <c r="K2879">
        <f>HYPERLINK("https://raw.githubusercontent.com/marcosmapl/dataset_imigrantes/main/noticias_filtered/g1/haitianos/2015/05_jun/html/g1_a38a549e-22f5-11ed-b24f-6dbe51e79fca_1964.html", "HTML")</f>
        <v/>
      </c>
      <c r="L2879">
        <f>HYPERLINK("https://raw.githubusercontent.com/marcosmapl/dataset_imigrantes/main/noticias_filtered/g1/haitianos/2015/05_jun/txt/g1_a38a549e-22f5-11ed-b24f-6dbe51e79fca_1964.txt", "TXT")</f>
        <v/>
      </c>
    </row>
    <row r="2880">
      <c r="A2880" s="1" t="n">
        <v>2878</v>
      </c>
      <c r="B2880" t="n">
        <v>2015</v>
      </c>
      <c r="C2880" s="2" t="n">
        <v>42158.84097222222</v>
      </c>
      <c r="D2880" t="inlineStr">
        <is>
          <t>G1</t>
        </is>
      </c>
      <c r="E2880" t="inlineStr">
        <is>
          <t>HAITIANOS</t>
        </is>
      </c>
      <c r="F2880" t="inlineStr"/>
      <c r="G2880" t="inlineStr">
        <is>
          <t>PE TRUDADO G1 RS</t>
        </is>
      </c>
      <c r="H2880" t="inlineStr">
        <is>
          <t>HOMEM ABORDA FRENTISTA HAITIANO, CITA DESEMPREGO NO PAÍS E IRONIZA: 'SORTE'</t>
        </is>
      </c>
      <c r="I2880" t="inlineStr"/>
      <c r="J2880">
        <f>HYPERLINK("http://g1.globo.com/rs/rio-grande-do-sul/noticia/2015/06/homem-aborda-frentista-haitiano-cita-desemprego-no-pais-e-ironiza-sorte.html", "URL")</f>
        <v/>
      </c>
      <c r="K2880">
        <f>HYPERLINK("https://raw.githubusercontent.com/marcosmapl/dataset_imigrantes/main/noticias_filtered/g1/haitianos/2015/05_jun/html/g1_6d86437c-232b-11ed-b24f-6dbe51e79fca_4245.html", "HTML")</f>
        <v/>
      </c>
      <c r="L2880">
        <f>HYPERLINK("https://raw.githubusercontent.com/marcosmapl/dataset_imigrantes/main/noticias_filtered/g1/haitianos/2015/05_jun/txt/g1_6d86437c-232b-11ed-b24f-6dbe51e79fca_4245.txt", "TXT")</f>
        <v/>
      </c>
    </row>
    <row r="2881">
      <c r="A2881" s="1" t="n">
        <v>2879</v>
      </c>
      <c r="B2881" t="n">
        <v>2015</v>
      </c>
      <c r="C2881" s="2" t="n">
        <v>42158.42916666667</v>
      </c>
      <c r="D2881" t="inlineStr">
        <is>
          <t>G1</t>
        </is>
      </c>
      <c r="E2881" t="inlineStr">
        <is>
          <t>HAITIANOS</t>
        </is>
      </c>
      <c r="F2881" t="inlineStr"/>
      <c r="G2881" t="inlineStr">
        <is>
          <t>1 GO</t>
        </is>
      </c>
      <c r="H2881" t="inlineStr">
        <is>
          <t>MOTORISTA QUE ATROPELOU HAITIANOS DIZ À POLÍCIA QUE FUGIU POR MEDO, EM GO</t>
        </is>
      </c>
      <c r="I2881" t="inlineStr"/>
      <c r="J2881">
        <f>HYPERLINK("http://g1.globo.com/goias/noticia/2015/06/motorista-que-atropelou-haitianos-diz-policia-que-fugiu-por-medo-em-go.html", "URL")</f>
        <v/>
      </c>
      <c r="K2881">
        <f>HYPERLINK("https://raw.githubusercontent.com/marcosmapl/dataset_imigrantes/main/noticias_filtered/g1/haitianos/2015/05_jun/html/g1_ea4ce5f4-22f0-11ed-b24f-6dbe51e79fca_1726.html", "HTML")</f>
        <v/>
      </c>
      <c r="L2881">
        <f>HYPERLINK("https://raw.githubusercontent.com/marcosmapl/dataset_imigrantes/main/noticias_filtered/g1/haitianos/2015/05_jun/txt/g1_ea4ce5f4-22f0-11ed-b24f-6dbe51e79fca_1726.txt", "TXT")</f>
        <v/>
      </c>
    </row>
    <row r="2882">
      <c r="A2882" s="1" t="n">
        <v>2880</v>
      </c>
      <c r="B2882" t="n">
        <v>2015</v>
      </c>
      <c r="C2882" s="2" t="n">
        <v>42157.69097222222</v>
      </c>
      <c r="D2882" t="inlineStr">
        <is>
          <t>G1</t>
        </is>
      </c>
      <c r="E2882" t="inlineStr">
        <is>
          <t>HAITIANOS</t>
        </is>
      </c>
      <c r="F2882" t="inlineStr"/>
      <c r="G2882" t="inlineStr">
        <is>
          <t>1, EM BRASÍLIA</t>
        </is>
      </c>
      <c r="H2882" t="inlineStr">
        <is>
          <t>BRASIL NEGOCIA AÇÃO CONTRA IMIGRAÇÃO ILEGAL DE HAITIANOS, DIZ CARDOZO</t>
        </is>
      </c>
      <c r="I2882" t="inlineStr"/>
      <c r="J2882">
        <f>HYPERLINK("http://g1.globo.com/politica/noticia/2015/06/brasil-negocia-acao-contra-imigracao-ilegal-de-haitianos-diz-cardozo.html", "URL")</f>
        <v/>
      </c>
      <c r="K2882">
        <f>HYPERLINK("https://raw.githubusercontent.com/marcosmapl/dataset_imigrantes/main/noticias_filtered/g1/haitianos/2015/05_jun/html/g1_d2c8096a-22f3-11ed-b24f-6dbe51e79fca_1859.html", "HTML")</f>
        <v/>
      </c>
      <c r="L2882">
        <f>HYPERLINK("https://raw.githubusercontent.com/marcosmapl/dataset_imigrantes/main/noticias_filtered/g1/haitianos/2015/05_jun/txt/g1_d2c8096a-22f3-11ed-b24f-6dbe51e79fca_1859.txt", "TXT")</f>
        <v/>
      </c>
    </row>
    <row r="2883">
      <c r="A2883" s="1" t="n">
        <v>2881</v>
      </c>
      <c r="B2883" t="n">
        <v>2015</v>
      </c>
      <c r="C2883" s="2" t="n">
        <v>42157.47291666667</v>
      </c>
      <c r="D2883" t="inlineStr">
        <is>
          <t>G1</t>
        </is>
      </c>
      <c r="E2883" t="inlineStr">
        <is>
          <t>HAITIANOS</t>
        </is>
      </c>
      <c r="F2883" t="inlineStr"/>
      <c r="G2883" t="inlineStr">
        <is>
          <t>AR LEITEDA RBS TV</t>
        </is>
      </c>
      <c r="H2883" t="inlineStr">
        <is>
          <t>MAIS UM IMIGRANTE HAITIANO DESEMBARCA EM PORTO ALEGRE</t>
        </is>
      </c>
      <c r="I2883" t="inlineStr"/>
      <c r="J2883">
        <f>HYPERLINK("http://g1.globo.com/rs/rio-grande-do-sul/noticia/2015/06/mais-um-imigrante-haitiano-desembarca-em-porto-alegre.html", "URL")</f>
        <v/>
      </c>
      <c r="K2883">
        <f>HYPERLINK("https://raw.githubusercontent.com/marcosmapl/dataset_imigrantes/main/noticias_filtered/g1/haitianos/2015/05_jun/html/g1_30fc7d0a-22f8-11ed-b24f-6dbe51e79fca_2120.html", "HTML")</f>
        <v/>
      </c>
      <c r="L2883">
        <f>HYPERLINK("https://raw.githubusercontent.com/marcosmapl/dataset_imigrantes/main/noticias_filtered/g1/haitianos/2015/05_jun/txt/g1_30fc7d0a-22f8-11ed-b24f-6dbe51e79fca_2120.txt", "TXT")</f>
        <v/>
      </c>
    </row>
    <row r="2884">
      <c r="A2884" s="1" t="n">
        <v>2882</v>
      </c>
      <c r="B2884" t="n">
        <v>2015</v>
      </c>
      <c r="C2884" s="2" t="n">
        <v>42157.44861111111</v>
      </c>
      <c r="D2884" t="inlineStr">
        <is>
          <t>G1</t>
        </is>
      </c>
      <c r="E2884" t="inlineStr">
        <is>
          <t>HAITIANOS</t>
        </is>
      </c>
      <c r="F2884" t="inlineStr"/>
      <c r="G2884" t="inlineStr">
        <is>
          <t>1 GO</t>
        </is>
      </c>
      <c r="H2884" t="inlineStr">
        <is>
          <t>POLÍCIA IDENTIFICA MOTORISTA QUE ATROPELOU QUATRO HAITIANOS EM GOIÁS</t>
        </is>
      </c>
      <c r="I2884" t="inlineStr"/>
      <c r="J2884">
        <f>HYPERLINK("http://g1.globo.com/goias/noticia/2015/06/policia-identifica-motorista-que-atropelou-quatro-haitianos-em-goias.html", "URL")</f>
        <v/>
      </c>
      <c r="K2884">
        <f>HYPERLINK("https://raw.githubusercontent.com/marcosmapl/dataset_imigrantes/main/noticias_filtered/g1/haitianos/2015/05_jun/html/g1_93667296-22f5-11ed-b24f-6dbe51e79fca_1959.html", "HTML")</f>
        <v/>
      </c>
      <c r="L2884">
        <f>HYPERLINK("https://raw.githubusercontent.com/marcosmapl/dataset_imigrantes/main/noticias_filtered/g1/haitianos/2015/05_jun/txt/g1_93667296-22f5-11ed-b24f-6dbe51e79fca_1959.txt", "TXT")</f>
        <v/>
      </c>
    </row>
    <row r="2885">
      <c r="A2885" s="1" t="n">
        <v>2883</v>
      </c>
      <c r="B2885" t="n">
        <v>2015</v>
      </c>
      <c r="C2885" s="2" t="n">
        <v>42156.39583333334</v>
      </c>
      <c r="D2885" t="inlineStr">
        <is>
          <t>G1</t>
        </is>
      </c>
      <c r="E2885" t="inlineStr">
        <is>
          <t>HAITIANOS</t>
        </is>
      </c>
      <c r="F2885" t="inlineStr"/>
      <c r="G2885" t="inlineStr">
        <is>
          <t xml:space="preserve"> MARCELDO G1 AC</t>
        </is>
      </c>
      <c r="H2885" t="inlineStr">
        <is>
          <t>HAITIANO VOLTA AO ACRE PARA SER TRADUTOR VOLUNTÁRIO EM ABRIGO</t>
        </is>
      </c>
      <c r="I2885" t="inlineStr"/>
      <c r="J2885">
        <f>HYPERLINK("http://g1.globo.com/ac/acre/noticia/2015/06/haitiano-volta-ao-acre-para-ser-tradutor-voluntario-em-abrigo.html", "URL")</f>
        <v/>
      </c>
      <c r="K2885">
        <f>HYPERLINK("https://raw.githubusercontent.com/marcosmapl/dataset_imigrantes/main/noticias_filtered/g1/haitianos/2015/05_jun/html/g1_5366a706-2327-11ed-b24f-6dbe51e79fca_4028.html", "HTML")</f>
        <v/>
      </c>
      <c r="L2885">
        <f>HYPERLINK("https://raw.githubusercontent.com/marcosmapl/dataset_imigrantes/main/noticias_filtered/g1/haitianos/2015/05_jun/txt/g1_5366a706-2327-11ed-b24f-6dbe51e79fca_4028.txt", "TXT")</f>
        <v/>
      </c>
    </row>
    <row r="2886">
      <c r="A2886" s="1" t="n">
        <v>2884</v>
      </c>
      <c r="B2886" t="n">
        <v>2015</v>
      </c>
      <c r="C2886" s="2" t="n">
        <v>42155.91666666666</v>
      </c>
      <c r="D2886" t="inlineStr">
        <is>
          <t>G1</t>
        </is>
      </c>
      <c r="E2886" t="inlineStr">
        <is>
          <t>HAITIANOS</t>
        </is>
      </c>
      <c r="F2886" t="inlineStr"/>
      <c r="G2886" t="inlineStr">
        <is>
          <t>1 GO</t>
        </is>
      </c>
      <c r="H2886" t="inlineStr">
        <is>
          <t>HAITIANO MORRE E OUTROS 3 FICAM FERIDOS APÓS ATROPELAMENTO EM GOIÁS</t>
        </is>
      </c>
      <c r="I2886" t="inlineStr"/>
      <c r="J2886">
        <f>HYPERLINK("http://g1.globo.com/goias/transito/noticia/2015/05/haitiano-morre-e-outros-3-ficam-feridos-apos-atropelamento-em-goias.html", "URL")</f>
        <v/>
      </c>
      <c r="K2886">
        <f>HYPERLINK("https://raw.githubusercontent.com/marcosmapl/dataset_imigrantes/main/noticias_filtered/g1/haitianos/2015/04_mai/html/g1_d7e80d94-22f5-11ed-b24f-6dbe51e79fca_1975.html", "HTML")</f>
        <v/>
      </c>
      <c r="L2886">
        <f>HYPERLINK("https://raw.githubusercontent.com/marcosmapl/dataset_imigrantes/main/noticias_filtered/g1/haitianos/2015/04_mai/txt/g1_d7e80d94-22f5-11ed-b24f-6dbe51e79fca_1975.txt", "TXT")</f>
        <v/>
      </c>
    </row>
    <row r="2887">
      <c r="A2887" s="1" t="n">
        <v>2885</v>
      </c>
      <c r="B2887" t="n">
        <v>2015</v>
      </c>
      <c r="C2887" s="2" t="n">
        <v>42155.40069444444</v>
      </c>
      <c r="D2887" t="inlineStr">
        <is>
          <t>G1</t>
        </is>
      </c>
      <c r="E2887" t="inlineStr">
        <is>
          <t>HAITIANOS</t>
        </is>
      </c>
      <c r="F2887" t="inlineStr"/>
      <c r="G2887" t="inlineStr">
        <is>
          <t>AR LEITE
DA RBS TV</t>
        </is>
      </c>
      <c r="H2887" t="inlineStr">
        <is>
          <t>MAIS NOVE IMIGRANTES HAITIANOS DESEMBARCAM EM PORTO ALEGRE</t>
        </is>
      </c>
      <c r="I2887" t="inlineStr"/>
      <c r="J2887">
        <f>HYPERLINK("http://g1.globo.com/rs/rio-grande-do-sul/noticia/2015/05/mais-nove-imigrantes-haitianos-desembarcam-porto-alegre.html", "URL")</f>
        <v/>
      </c>
      <c r="K2887">
        <f>HYPERLINK("https://raw.githubusercontent.com/marcosmapl/dataset_imigrantes/main/noticias_filtered/g1/haitianos/2015/04_mai/html/g1_67bdcbd8-22f7-11ed-b24f-6dbe51e79fca_2077.html", "HTML")</f>
        <v/>
      </c>
      <c r="L2887">
        <f>HYPERLINK("https://raw.githubusercontent.com/marcosmapl/dataset_imigrantes/main/noticias_filtered/g1/haitianos/2015/04_mai/txt/g1_67bdcbd8-22f7-11ed-b24f-6dbe51e79fca_2077.txt", "TXT")</f>
        <v/>
      </c>
    </row>
    <row r="2888">
      <c r="A2888" s="1" t="n">
        <v>2886</v>
      </c>
      <c r="B2888" t="n">
        <v>2015</v>
      </c>
      <c r="C2888" s="2" t="n">
        <v>42154.42986111111</v>
      </c>
      <c r="D2888" t="inlineStr">
        <is>
          <t>G1</t>
        </is>
      </c>
      <c r="E2888" t="inlineStr">
        <is>
          <t>HAITIANOS</t>
        </is>
      </c>
      <c r="F2888" t="inlineStr"/>
      <c r="G2888" t="inlineStr">
        <is>
          <t>1 SC</t>
        </is>
      </c>
      <c r="H2888" t="inlineStr">
        <is>
          <t>HAITIANOS, IDOSO RESGATADO DE TRATOR... VEJA MAIS LIDAS DA SEMANA NO G1 SC</t>
        </is>
      </c>
      <c r="I2888" t="inlineStr"/>
      <c r="J2888">
        <f>HYPERLINK("http://g1.globo.com/sc/santa-catarina/noticia/2015/05/haitianos-idoso-resgatado-de-trator-veja-mais-lidas-da-semana-no-g1-sc.html", "URL")</f>
        <v/>
      </c>
      <c r="K2888">
        <f>HYPERLINK("https://raw.githubusercontent.com/marcosmapl/dataset_imigrantes/main/noticias_filtered/g1/haitianos/2015/04_mai/html/g1_9658d19c-22f5-11ed-b24f-6dbe51e79fca_1960.html", "HTML")</f>
        <v/>
      </c>
      <c r="L2888">
        <f>HYPERLINK("https://raw.githubusercontent.com/marcosmapl/dataset_imigrantes/main/noticias_filtered/g1/haitianos/2015/04_mai/txt/g1_9658d19c-22f5-11ed-b24f-6dbe51e79fca_1960.txt", "TXT")</f>
        <v/>
      </c>
    </row>
    <row r="2889">
      <c r="A2889" s="1" t="n">
        <v>2887</v>
      </c>
      <c r="B2889" t="n">
        <v>2015</v>
      </c>
      <c r="C2889" s="2" t="n">
        <v>42153.50833333333</v>
      </c>
      <c r="D2889" t="inlineStr">
        <is>
          <t>G1</t>
        </is>
      </c>
      <c r="E2889" t="inlineStr">
        <is>
          <t>HAITIANOS</t>
        </is>
      </c>
      <c r="F2889" t="inlineStr"/>
      <c r="G2889" t="inlineStr">
        <is>
          <t>1 ITAPETININGA E REGIÃO</t>
        </is>
      </c>
      <c r="H2889" t="inlineStr">
        <is>
          <t>HAITIANOS VINDOS DO AC DIZEM LEVAR 'CALOTE' APÓS DEMISSÃO EM LAVOURA</t>
        </is>
      </c>
      <c r="I2889" t="inlineStr"/>
      <c r="J2889">
        <f>HYPERLINK("http://g1.globo.com/sao-paulo/itapetininga-regiao/noticia/2015/05/haitianos-do-ac-dizem-levar-calote-apos-demissao-em-lavoura-de-laranja.html", "URL")</f>
        <v/>
      </c>
      <c r="K2889">
        <f>HYPERLINK("https://raw.githubusercontent.com/marcosmapl/dataset_imigrantes/main/noticias_filtered/g1/haitianos/2015/04_mai/html/g1_c7728dcc-22fa-11ed-b24f-6dbe51e79fca_2240.html", "HTML")</f>
        <v/>
      </c>
      <c r="L2889">
        <f>HYPERLINK("https://raw.githubusercontent.com/marcosmapl/dataset_imigrantes/main/noticias_filtered/g1/haitianos/2015/04_mai/txt/g1_c7728dcc-22fa-11ed-b24f-6dbe51e79fca_2240.txt", "TXT")</f>
        <v/>
      </c>
    </row>
    <row r="2890">
      <c r="A2890" s="1" t="n">
        <v>2888</v>
      </c>
      <c r="B2890" t="n">
        <v>2015</v>
      </c>
      <c r="C2890" s="2" t="n">
        <v>42152.55625</v>
      </c>
      <c r="D2890" t="inlineStr">
        <is>
          <t>G1</t>
        </is>
      </c>
      <c r="E2890" t="inlineStr">
        <is>
          <t>HAITIANOS</t>
        </is>
      </c>
      <c r="F2890" t="inlineStr"/>
      <c r="G2890" t="inlineStr">
        <is>
          <t>1 SC</t>
        </is>
      </c>
      <c r="H2890" t="inlineStr">
        <is>
          <t>MAIS UM ÔNIBUS COM HAITIANOS CHEGA A FLORIANÓPOLIS NESTA QUINTA-FEIRA</t>
        </is>
      </c>
      <c r="I2890" t="inlineStr"/>
      <c r="J2890">
        <f>HYPERLINK("http://g1.globo.com/sc/santa-catarina/noticia/2015/05/mais-um-onibus-com-haitianos-chega-florianopolis-nesta-quinta-feira.html", "URL")</f>
        <v/>
      </c>
      <c r="K2890">
        <f>HYPERLINK("https://raw.githubusercontent.com/marcosmapl/dataset_imigrantes/main/noticias_filtered/g1/haitianos/2015/04_mai/html/g1_5f18f114-22f3-11ed-b24f-6dbe51e79fca_1838.html", "HTML")</f>
        <v/>
      </c>
      <c r="L2890">
        <f>HYPERLINK("https://raw.githubusercontent.com/marcosmapl/dataset_imigrantes/main/noticias_filtered/g1/haitianos/2015/04_mai/txt/g1_5f18f114-22f3-11ed-b24f-6dbe51e79fca_1838.txt", "TXT")</f>
        <v/>
      </c>
    </row>
    <row r="2891">
      <c r="A2891" s="1" t="n">
        <v>2889</v>
      </c>
      <c r="B2891" t="n">
        <v>2015</v>
      </c>
      <c r="C2891" s="2" t="n">
        <v>42151.97418981481</v>
      </c>
      <c r="D2891" t="inlineStr">
        <is>
          <t>A CRITICA</t>
        </is>
      </c>
      <c r="E2891" t="inlineStr">
        <is>
          <t>VENEZUELANOS</t>
        </is>
      </c>
      <c r="F2891" t="inlineStr"/>
      <c r="G2891" t="inlineStr">
        <is>
          <t>ACRITICA.COM*</t>
        </is>
      </c>
      <c r="H2891" t="inlineStr">
        <is>
          <t>'ESSA DROGA FOI POSTA PRA DIFAMAR MEU FILHO', AFIRMA MÃE DE PILOTO DE AVIÃO DERRUBADO NA VENEZUELA</t>
        </is>
      </c>
      <c r="I2891" t="inlineStr">
        <is>
          <t>AVIÃO COM DOIS AMAZONENSES A BORDO FOI ABATIDO PELA FORÇA AÉREA VENEZUELANA, DA FORÇA ARMADA NACIONAL BOLIVARIANA (FANB), NA MADRUGADA DO DOMINGO (24)</t>
        </is>
      </c>
      <c r="J2891">
        <f>HYPERLINK("https://www.acritica.com/essa-droga-foi-posta-pra-difamar-meu-filho-afirma-m-e-de-piloto-de-avi-o-derrubado-na-venezuela-1.244406", "URL")</f>
        <v/>
      </c>
      <c r="K2891">
        <f>HYPERLINK("https://raw.githubusercontent.com/marcosmapl/dataset_imigrantes/main/noticias_filtered/a_critica/venezuelanos/2015/04_mai/html/1.244406_369.html", "HTML")</f>
        <v/>
      </c>
      <c r="L2891">
        <f>HYPERLINK("https://raw.githubusercontent.com/marcosmapl/dataset_imigrantes/main/noticias_filtered/a_critica/venezuelanos/2015/04_mai/txt/1.244406_369.txt", "TXT")</f>
        <v/>
      </c>
    </row>
    <row r="2892">
      <c r="A2892" s="1" t="n">
        <v>2890</v>
      </c>
      <c r="B2892" t="n">
        <v>2015</v>
      </c>
      <c r="C2892" s="2" t="n">
        <v>42151.87302083334</v>
      </c>
      <c r="D2892" t="inlineStr">
        <is>
          <t>A CRITICA</t>
        </is>
      </c>
      <c r="E2892" t="inlineStr">
        <is>
          <t>VENEZUELANOS</t>
        </is>
      </c>
      <c r="F2892" t="inlineStr"/>
      <c r="G2892" t="inlineStr">
        <is>
          <t>VICTOR AFFONSO</t>
        </is>
      </c>
      <c r="H2892" t="inlineStr">
        <is>
          <t>AVIÃO COM DOIS AMAZONENSES A BORDO E MAIS DE 600 TABLETES DE COCAÍNA É ABATIDO NA VENEZUELA</t>
        </is>
      </c>
      <c r="I2892" t="inlineStr">
        <is>
          <t>AERONAVE BIMOTOR DA EMBRAER FOI DETECTADA PELOS RADARES DA FORÇA ARMADA NACIONAL BOLIVARIANA E TENTOU FUGIR, MAS CHEGOU A SER ABATIDA POR CAÇAS VENEZUELANOS HORAS DEPOIS. ENTRE OS DESTROÇOS, ESTAVAM DOCUMENTOS PESSOAIS DOS MORTOS, DINHEIRO EM TRÊS MOEDAS DIFERENTES E MUITA DROGA</t>
        </is>
      </c>
      <c r="J2892">
        <f>HYPERLINK("https://www.acritica.com/avi-o-com-dois-amazonenses-a-bordo-e-mais-de-600-tabletes-de-cocaina-e-abatido-na-venezuela-1.244420", "URL")</f>
        <v/>
      </c>
      <c r="K2892">
        <f>HYPERLINK("https://raw.githubusercontent.com/marcosmapl/dataset_imigrantes/main/noticias_filtered/a_critica/venezuelanos/2015/04_mai/html/1.244420_1051.html", "HTML")</f>
        <v/>
      </c>
      <c r="L2892">
        <f>HYPERLINK("https://raw.githubusercontent.com/marcosmapl/dataset_imigrantes/main/noticias_filtered/a_critica/venezuelanos/2015/04_mai/txt/1.244420_1051.txt", "TXT")</f>
        <v/>
      </c>
    </row>
    <row r="2893">
      <c r="A2893" s="1" t="n">
        <v>2891</v>
      </c>
      <c r="B2893" t="n">
        <v>2015</v>
      </c>
      <c r="C2893" s="2" t="n">
        <v>42150.57361111111</v>
      </c>
      <c r="D2893" t="inlineStr">
        <is>
          <t>G1</t>
        </is>
      </c>
      <c r="E2893" t="inlineStr">
        <is>
          <t>HAITIANOS</t>
        </is>
      </c>
      <c r="F2893" t="inlineStr"/>
      <c r="G2893" t="inlineStr">
        <is>
          <t xml:space="preserve"> FULGÊNCIODO G1 AC</t>
        </is>
      </c>
      <c r="H2893" t="inlineStr">
        <is>
          <t>LARGURA DE CANELA É REQUISITO PARA HAITIANO TER EMPREGO NO PAÍS, DIZ MPT</t>
        </is>
      </c>
      <c r="I2893" t="inlineStr"/>
      <c r="J2893">
        <f>HYPERLINK("http://g1.globo.com/ac/acre/noticia/2015/05/largura-de-canela-e-requisito-para-haitiano-conseguir-emprego-no-brasil.html", "URL")</f>
        <v/>
      </c>
      <c r="K2893">
        <f>HYPERLINK("https://raw.githubusercontent.com/marcosmapl/dataset_imigrantes/main/noticias_filtered/g1/haitianos/2015/04_mai/html/g1_edd90178-232a-11ed-b24f-6dbe51e79fca_4211.html", "HTML")</f>
        <v/>
      </c>
      <c r="L2893">
        <f>HYPERLINK("https://raw.githubusercontent.com/marcosmapl/dataset_imigrantes/main/noticias_filtered/g1/haitianos/2015/04_mai/txt/g1_edd90178-232a-11ed-b24f-6dbe51e79fca_4211.txt", "TXT")</f>
        <v/>
      </c>
    </row>
    <row r="2894">
      <c r="A2894" s="1" t="n">
        <v>2892</v>
      </c>
      <c r="B2894" t="n">
        <v>2015</v>
      </c>
      <c r="C2894" s="2" t="n">
        <v>42150.49583333333</v>
      </c>
      <c r="D2894" t="inlineStr">
        <is>
          <t>G1</t>
        </is>
      </c>
      <c r="E2894" t="inlineStr">
        <is>
          <t>HAITIANOS</t>
        </is>
      </c>
      <c r="F2894" t="inlineStr"/>
      <c r="G2894" t="inlineStr">
        <is>
          <t>1 SC</t>
        </is>
      </c>
      <c r="H2894" t="inlineStr">
        <is>
          <t>HAITIANOS SEGUEM INTERNADOS COM SINTOMAS DE GRIPE EM FLORIANÓPOLIS</t>
        </is>
      </c>
      <c r="I2894" t="inlineStr"/>
      <c r="J2894">
        <f>HYPERLINK("http://g1.globo.com/sc/santa-catarina/noticia/2015/05/haitianos-seguem-internados-com-sintomas-de-gripe-em-florianopolis.html", "URL")</f>
        <v/>
      </c>
      <c r="K2894">
        <f>HYPERLINK("https://raw.githubusercontent.com/marcosmapl/dataset_imigrantes/main/noticias_filtered/g1/haitianos/2015/04_mai/html/g1_a77af330-22f3-11ed-b24f-6dbe51e79fca_1851.html", "HTML")</f>
        <v/>
      </c>
      <c r="L2894">
        <f>HYPERLINK("https://raw.githubusercontent.com/marcosmapl/dataset_imigrantes/main/noticias_filtered/g1/haitianos/2015/04_mai/txt/g1_a77af330-22f3-11ed-b24f-6dbe51e79fca_1851.txt", "TXT")</f>
        <v/>
      </c>
    </row>
    <row r="2895">
      <c r="A2895" s="1" t="n">
        <v>2893</v>
      </c>
      <c r="B2895" t="n">
        <v>2015</v>
      </c>
      <c r="C2895" s="2" t="n">
        <v>42150.49444444444</v>
      </c>
      <c r="D2895" t="inlineStr">
        <is>
          <t>G1</t>
        </is>
      </c>
      <c r="E2895" t="inlineStr">
        <is>
          <t>HAITIANOS</t>
        </is>
      </c>
      <c r="F2895" t="inlineStr"/>
      <c r="G2895" t="inlineStr">
        <is>
          <t>1 PR</t>
        </is>
      </c>
      <c r="H2895" t="inlineStr">
        <is>
          <t>HAITIANOS QUE SAÍRAM DE ABRIGO SUPERLOTADO NO ACRE CHEGAM AO PR</t>
        </is>
      </c>
      <c r="I2895" t="inlineStr"/>
      <c r="J2895">
        <f>HYPERLINK("http://g1.globo.com/pr/parana/noticia/2015/05/haitianos-que-sairam-de-abrigo-superlotado-no-acre-chegam-ao-pr.html", "URL")</f>
        <v/>
      </c>
      <c r="K2895">
        <f>HYPERLINK("https://raw.githubusercontent.com/marcosmapl/dataset_imigrantes/main/noticias_filtered/g1/haitianos/2015/04_mai/html/g1_6d80fdac-22f1-11ed-b24f-6dbe51e79fca_1750.html", "HTML")</f>
        <v/>
      </c>
      <c r="L2895">
        <f>HYPERLINK("https://raw.githubusercontent.com/marcosmapl/dataset_imigrantes/main/noticias_filtered/g1/haitianos/2015/04_mai/txt/g1_6d80fdac-22f1-11ed-b24f-6dbe51e79fca_1750.txt", "TXT")</f>
        <v/>
      </c>
    </row>
    <row r="2896">
      <c r="A2896" s="1" t="n">
        <v>2894</v>
      </c>
      <c r="B2896" t="n">
        <v>2015</v>
      </c>
      <c r="C2896" s="2" t="n">
        <v>42150.23888888889</v>
      </c>
      <c r="D2896" t="inlineStr">
        <is>
          <t>G1</t>
        </is>
      </c>
      <c r="E2896" t="inlineStr">
        <is>
          <t>HAITIANOS</t>
        </is>
      </c>
      <c r="F2896" t="inlineStr"/>
      <c r="G2896" t="inlineStr">
        <is>
          <t>1 RS</t>
        </is>
      </c>
      <c r="H2896" t="inlineStr">
        <is>
          <t>IMIGRANTES HAITIANOS E SENEGALESES DESEMBARCAM EM PORTO ALEGRE</t>
        </is>
      </c>
      <c r="I2896" t="inlineStr"/>
      <c r="J2896">
        <f>HYPERLINK("http://g1.globo.com/rs/rio-grande-do-sul/noticia/2015/05/imigrantes-haitianos-e-senegaleses-desembarcam-em-porto-alegre.html", "URL")</f>
        <v/>
      </c>
      <c r="K2896">
        <f>HYPERLINK("https://raw.githubusercontent.com/marcosmapl/dataset_imigrantes/main/noticias_filtered/g1/haitianos/2015/04_mai/html/g1_b7a0d1e4-22f8-11ed-b24f-6dbe51e79fca_2153.html", "HTML")</f>
        <v/>
      </c>
      <c r="L2896">
        <f>HYPERLINK("https://raw.githubusercontent.com/marcosmapl/dataset_imigrantes/main/noticias_filtered/g1/haitianos/2015/04_mai/txt/g1_b7a0d1e4-22f8-11ed-b24f-6dbe51e79fca_2153.txt", "TXT")</f>
        <v/>
      </c>
    </row>
    <row r="2897">
      <c r="A2897" s="1" t="n">
        <v>2895</v>
      </c>
      <c r="B2897" t="n">
        <v>2015</v>
      </c>
      <c r="C2897" s="2" t="n">
        <v>42149.84930555556</v>
      </c>
      <c r="D2897" t="inlineStr">
        <is>
          <t>G1</t>
        </is>
      </c>
      <c r="E2897" t="inlineStr">
        <is>
          <t>HAITIANOS</t>
        </is>
      </c>
      <c r="F2897" t="inlineStr"/>
      <c r="G2897" t="inlineStr">
        <is>
          <t xml:space="preserve"> MARCELDO G1 AC</t>
        </is>
      </c>
      <c r="H2897" t="inlineStr">
        <is>
          <t>MPT QUER QUE UNIÃO ASSUMA HAITIANOS E PAGUE INDENIZAÇÃO DE R$ 50 MI</t>
        </is>
      </c>
      <c r="I2897" t="inlineStr"/>
      <c r="J2897">
        <f>HYPERLINK("http://g1.globo.com/ac/acre/noticia/2015/05/mpt-quer-que-uniao-assuma-haitianos-e-pague-indenizacao-de-r-50-mi.html", "URL")</f>
        <v/>
      </c>
      <c r="K2897">
        <f>HYPERLINK("https://raw.githubusercontent.com/marcosmapl/dataset_imigrantes/main/noticias_filtered/g1/haitianos/2015/04_mai/html/g1_8be44210-22f9-11ed-b24f-6dbe51e79fca_2169.html", "HTML")</f>
        <v/>
      </c>
      <c r="L2897">
        <f>HYPERLINK("https://raw.githubusercontent.com/marcosmapl/dataset_imigrantes/main/noticias_filtered/g1/haitianos/2015/04_mai/txt/g1_8be44210-22f9-11ed-b24f-6dbe51e79fca_2169.txt", "TXT")</f>
        <v/>
      </c>
    </row>
    <row r="2898">
      <c r="A2898" s="1" t="n">
        <v>2896</v>
      </c>
      <c r="B2898" t="n">
        <v>2015</v>
      </c>
      <c r="C2898" s="2" t="n">
        <v>42149.65208333333</v>
      </c>
      <c r="D2898" t="inlineStr">
        <is>
          <t>G1</t>
        </is>
      </c>
      <c r="E2898" t="inlineStr">
        <is>
          <t>HAITIANOS</t>
        </is>
      </c>
      <c r="F2898" t="inlineStr"/>
      <c r="G2898" t="inlineStr">
        <is>
          <t>1 SC</t>
        </is>
      </c>
      <c r="H2898" t="inlineStr">
        <is>
          <t>TRÊS HAITIANOS SÃO INTERNADOS EM FLORIANÓPOLIS PARA AVERIGUAR FEBRE ALTA</t>
        </is>
      </c>
      <c r="I2898" t="inlineStr"/>
      <c r="J2898">
        <f>HYPERLINK("http://g1.globo.com/sc/santa-catarina/noticia/2015/05/tres-haitianos-sao-internados-em-florianopolis-para-averiguar-febre-alta.html", "URL")</f>
        <v/>
      </c>
      <c r="K2898">
        <f>HYPERLINK("https://raw.githubusercontent.com/marcosmapl/dataset_imigrantes/main/noticias_filtered/g1/haitianos/2015/04_mai/html/g1_eeab6818-22f6-11ed-b24f-6dbe51e79fca_2048.html", "HTML")</f>
        <v/>
      </c>
      <c r="L2898">
        <f>HYPERLINK("https://raw.githubusercontent.com/marcosmapl/dataset_imigrantes/main/noticias_filtered/g1/haitianos/2015/04_mai/txt/g1_eeab6818-22f6-11ed-b24f-6dbe51e79fca_2048.txt", "TXT")</f>
        <v/>
      </c>
    </row>
    <row r="2899">
      <c r="A2899" s="1" t="n">
        <v>2897</v>
      </c>
      <c r="B2899" t="n">
        <v>2015</v>
      </c>
      <c r="C2899" s="2" t="n">
        <v>42149.28055555555</v>
      </c>
      <c r="D2899" t="inlineStr">
        <is>
          <t>G1</t>
        </is>
      </c>
      <c r="E2899" t="inlineStr">
        <is>
          <t>HAITIANOS</t>
        </is>
      </c>
      <c r="F2899" t="inlineStr"/>
      <c r="G2899" t="inlineStr">
        <is>
          <t>1 SC</t>
        </is>
      </c>
      <c r="H2899" t="inlineStr">
        <is>
          <t>HAITIANOS E SENEGALESES CHEGAM A FLORIANÓPOLIS VINDOS DO ACRE</t>
        </is>
      </c>
      <c r="I2899" t="inlineStr"/>
      <c r="J2899">
        <f>HYPERLINK("http://g1.globo.com/sc/santa-catarina/noticia/2015/05/haitianos-e-senegaleses-chegam-florianopolis-vindos-do-acre.html", "URL")</f>
        <v/>
      </c>
      <c r="K2899">
        <f>HYPERLINK("https://raw.githubusercontent.com/marcosmapl/dataset_imigrantes/main/noticias_filtered/g1/haitianos/2015/04_mai/html/g1_e46c3ea8-22f2-11ed-b24f-6dbe51e79fca_1817.html", "HTML")</f>
        <v/>
      </c>
      <c r="L2899">
        <f>HYPERLINK("https://raw.githubusercontent.com/marcosmapl/dataset_imigrantes/main/noticias_filtered/g1/haitianos/2015/04_mai/txt/g1_e46c3ea8-22f2-11ed-b24f-6dbe51e79fca_1817.txt", "TXT")</f>
        <v/>
      </c>
    </row>
    <row r="2900">
      <c r="A2900" s="1" t="n">
        <v>2898</v>
      </c>
      <c r="B2900" t="n">
        <v>2015</v>
      </c>
      <c r="C2900" s="2" t="n">
        <v>42148.52708333333</v>
      </c>
      <c r="D2900" t="inlineStr">
        <is>
          <t>G1</t>
        </is>
      </c>
      <c r="E2900" t="inlineStr">
        <is>
          <t>HAITIANOS</t>
        </is>
      </c>
      <c r="F2900" t="inlineStr"/>
      <c r="G2900" t="inlineStr">
        <is>
          <t>ELLA FRAGADO G1 RS</t>
        </is>
      </c>
      <c r="H2900" t="inlineStr">
        <is>
          <t>PREFEITURA DE PORTO ALEGRE PEDE DOAÇÕES PARA RECEBER HAITIANOS</t>
        </is>
      </c>
      <c r="I2900" t="inlineStr"/>
      <c r="J2900">
        <f>HYPERLINK("http://g1.globo.com/rs/rio-grande-do-sul/noticia/2015/05/prefeitura-de-porto-alegre-pede-doacoes-para-receber-haitianos.html", "URL")</f>
        <v/>
      </c>
      <c r="K2900">
        <f>HYPERLINK("https://raw.githubusercontent.com/marcosmapl/dataset_imigrantes/main/noticias_filtered/g1/haitianos/2015/04_mai/html/g1_9c8f5af6-22f8-11ed-b24f-6dbe51e79fca_2146.html", "HTML")</f>
        <v/>
      </c>
      <c r="L2900">
        <f>HYPERLINK("https://raw.githubusercontent.com/marcosmapl/dataset_imigrantes/main/noticias_filtered/g1/haitianos/2015/04_mai/txt/g1_9c8f5af6-22f8-11ed-b24f-6dbe51e79fca_2146.txt", "TXT")</f>
        <v/>
      </c>
    </row>
    <row r="2901">
      <c r="A2901" s="1" t="n">
        <v>2899</v>
      </c>
      <c r="B2901" t="n">
        <v>2015</v>
      </c>
      <c r="C2901" s="2" t="n">
        <v>42148.46805555555</v>
      </c>
      <c r="D2901" t="inlineStr">
        <is>
          <t>G1</t>
        </is>
      </c>
      <c r="E2901" t="inlineStr">
        <is>
          <t>HAITIANOS</t>
        </is>
      </c>
      <c r="F2901" t="inlineStr"/>
      <c r="G2901" t="inlineStr">
        <is>
          <t>1 SC</t>
        </is>
      </c>
      <c r="H2901" t="inlineStr">
        <is>
          <t>FLORIANÓPOLIS DEVE RECEBER 46 IMIGRANTES HAITIANOS E SENEGALESES</t>
        </is>
      </c>
      <c r="I2901" t="inlineStr"/>
      <c r="J2901">
        <f>HYPERLINK("http://g1.globo.com/sc/santa-catarina/noticia/2015/05/florianopolis-deve-receber-46-imigrantes-haitianos-e-senegaleses.html", "URL")</f>
        <v/>
      </c>
      <c r="K2901">
        <f>HYPERLINK("https://raw.githubusercontent.com/marcosmapl/dataset_imigrantes/main/noticias_filtered/g1/haitianos/2015/04_mai/html/g1_f734f338-22fa-11ed-b24f-6dbe51e79fca_2253.html", "HTML")</f>
        <v/>
      </c>
      <c r="L2901">
        <f>HYPERLINK("https://raw.githubusercontent.com/marcosmapl/dataset_imigrantes/main/noticias_filtered/g1/haitianos/2015/04_mai/txt/g1_f734f338-22fa-11ed-b24f-6dbe51e79fca_2253.txt", "TXT")</f>
        <v/>
      </c>
    </row>
    <row r="2902">
      <c r="A2902" s="1" t="n">
        <v>2900</v>
      </c>
      <c r="B2902" t="n">
        <v>2015</v>
      </c>
      <c r="C2902" s="2" t="n">
        <v>42146.95</v>
      </c>
      <c r="D2902" t="inlineStr">
        <is>
          <t>G1</t>
        </is>
      </c>
      <c r="E2902" t="inlineStr">
        <is>
          <t>HAITIANOS</t>
        </is>
      </c>
      <c r="F2902" t="inlineStr"/>
      <c r="G2902" t="inlineStr">
        <is>
          <t>1 SC</t>
        </is>
      </c>
      <c r="H2902" t="inlineStr">
        <is>
          <t>GINÁSIO É DEFINIDO PARA RECEBER HAITIANOS EM FLORIANÓPOLIS</t>
        </is>
      </c>
      <c r="I2902" t="inlineStr"/>
      <c r="J2902">
        <f>HYPERLINK("http://g1.globo.com/sc/santa-catarina/noticia/2015/05/ginasio-e-definido-para-receber-haitianos-em-florianopolis.html", "URL")</f>
        <v/>
      </c>
      <c r="K2902">
        <f>HYPERLINK("https://raw.githubusercontent.com/marcosmapl/dataset_imigrantes/main/noticias_filtered/g1/haitianos/2015/04_mai/html/g1_dc50cf70-22f4-11ed-b24f-6dbe51e79fca_1915.html", "HTML")</f>
        <v/>
      </c>
      <c r="L2902">
        <f>HYPERLINK("https://raw.githubusercontent.com/marcosmapl/dataset_imigrantes/main/noticias_filtered/g1/haitianos/2015/04_mai/txt/g1_dc50cf70-22f4-11ed-b24f-6dbe51e79fca_1915.txt", "TXT")</f>
        <v/>
      </c>
    </row>
    <row r="2903">
      <c r="A2903" s="1" t="n">
        <v>2901</v>
      </c>
      <c r="B2903" t="n">
        <v>2015</v>
      </c>
      <c r="C2903" s="2" t="n">
        <v>42146.9125</v>
      </c>
      <c r="D2903" t="inlineStr">
        <is>
          <t>G1</t>
        </is>
      </c>
      <c r="E2903" t="inlineStr">
        <is>
          <t>HAITIANOS</t>
        </is>
      </c>
      <c r="F2903" t="inlineStr"/>
      <c r="G2903" t="inlineStr"/>
      <c r="H2903" t="inlineStr">
        <is>
          <t>MAIS DE SETE MIL HAITIANOS ENTRARAM NO BRASIL, PELO ACRE, SÓ EM 2015</t>
        </is>
      </c>
      <c r="I2903" t="inlineStr"/>
      <c r="J2903">
        <f>HYPERLINK("http://g1.globo.com/jornal-nacional/noticia/2015/05/mais-de-sete-mil-haitianos-entraram-no-brasil-pelo-acre-so-em-2015.html", "URL")</f>
        <v/>
      </c>
      <c r="K2903">
        <f>HYPERLINK("https://raw.githubusercontent.com/marcosmapl/dataset_imigrantes/main/noticias_filtered/g1/haitianos/2015/04_mai/html/g1_0e286f34-22f1-11ed-b24f-6dbe51e79fca_1732.html", "HTML")</f>
        <v/>
      </c>
      <c r="L2903">
        <f>HYPERLINK("https://raw.githubusercontent.com/marcosmapl/dataset_imigrantes/main/noticias_filtered/g1/haitianos/2015/04_mai/txt/g1_0e286f34-22f1-11ed-b24f-6dbe51e79fca_1732.txt", "TXT")</f>
        <v/>
      </c>
    </row>
    <row r="2904">
      <c r="A2904" s="1" t="n">
        <v>2902</v>
      </c>
      <c r="B2904" t="n">
        <v>2015</v>
      </c>
      <c r="C2904" s="2" t="n">
        <v>42146.88333333333</v>
      </c>
      <c r="D2904" t="inlineStr">
        <is>
          <t>G1</t>
        </is>
      </c>
      <c r="E2904" t="inlineStr">
        <is>
          <t>HAITIANOS</t>
        </is>
      </c>
      <c r="F2904" t="inlineStr"/>
      <c r="G2904" t="inlineStr">
        <is>
          <t>1 RS</t>
        </is>
      </c>
      <c r="H2904" t="inlineStr">
        <is>
          <t>RS DEVE ACOLHER CERCA DE 1 MIL HAITIANOS ATÉ JULHO, DIZ SECRETARIA</t>
        </is>
      </c>
      <c r="I2904" t="inlineStr"/>
      <c r="J2904">
        <f>HYPERLINK("http://g1.globo.com/rs/rio-grande-do-sul/noticia/2015/05/rs-deve-acolher-cerca-de-1-mil-haitianos-ate-julho-diz-secretaria.html", "URL")</f>
        <v/>
      </c>
      <c r="K2904">
        <f>HYPERLINK("https://raw.githubusercontent.com/marcosmapl/dataset_imigrantes/main/noticias_filtered/g1/haitianos/2015/04_mai/html/g1_90668f72-22f5-11ed-b24f-6dbe51e79fca_1958.html", "HTML")</f>
        <v/>
      </c>
      <c r="L2904">
        <f>HYPERLINK("https://raw.githubusercontent.com/marcosmapl/dataset_imigrantes/main/noticias_filtered/g1/haitianos/2015/04_mai/txt/g1_90668f72-22f5-11ed-b24f-6dbe51e79fca_1958.txt", "TXT")</f>
        <v/>
      </c>
    </row>
    <row r="2905">
      <c r="A2905" s="1" t="n">
        <v>2903</v>
      </c>
      <c r="B2905" t="n">
        <v>2015</v>
      </c>
      <c r="C2905" s="2" t="n">
        <v>42145.82361111111</v>
      </c>
      <c r="D2905" t="inlineStr">
        <is>
          <t>G1</t>
        </is>
      </c>
      <c r="E2905" t="inlineStr">
        <is>
          <t>HAITIANOS</t>
        </is>
      </c>
      <c r="F2905" t="inlineStr"/>
      <c r="G2905" t="inlineStr">
        <is>
          <t>1, EM BRASÍLIA</t>
        </is>
      </c>
      <c r="H2905" t="inlineStr">
        <is>
          <t>MINISTÉRIO SUSPENDE TRANSPORTE DE HAITIANOS DO ACRE PARA OUTROS ESTADOS</t>
        </is>
      </c>
      <c r="I2905" t="inlineStr"/>
      <c r="J2905">
        <f>HYPERLINK("http://g1.globo.com/mundo/noticia/2015/05/cardozo-diz-que-brasil-aumentara-o-numero-de-vistos-para-haitianos.html", "URL")</f>
        <v/>
      </c>
      <c r="K2905">
        <f>HYPERLINK("https://raw.githubusercontent.com/marcosmapl/dataset_imigrantes/main/noticias_filtered/g1/haitianos/2015/04_mai/html/g1_b2b20fc4-22f1-11ed-b24f-6dbe51e79fca_1761.html", "HTML")</f>
        <v/>
      </c>
      <c r="L2905">
        <f>HYPERLINK("https://raw.githubusercontent.com/marcosmapl/dataset_imigrantes/main/noticias_filtered/g1/haitianos/2015/04_mai/txt/g1_b2b20fc4-22f1-11ed-b24f-6dbe51e79fca_1761.txt", "TXT")</f>
        <v/>
      </c>
    </row>
    <row r="2906">
      <c r="A2906" s="1" t="n">
        <v>2904</v>
      </c>
      <c r="B2906" t="n">
        <v>2015</v>
      </c>
      <c r="C2906" s="2" t="n">
        <v>42145.76041666666</v>
      </c>
      <c r="D2906" t="inlineStr">
        <is>
          <t>G1</t>
        </is>
      </c>
      <c r="E2906" t="inlineStr">
        <is>
          <t>HAITIANOS</t>
        </is>
      </c>
      <c r="F2906" t="inlineStr"/>
      <c r="G2906" t="inlineStr">
        <is>
          <t>ELLA FRAGADO G1 RS</t>
        </is>
      </c>
      <c r="H2906" t="inlineStr">
        <is>
          <t>CHEGADA DE HAITIANOS A PORTO ALEGRE É ADIADA APÓS PEDIDO DA PREFEITURA</t>
        </is>
      </c>
      <c r="I2906" t="inlineStr"/>
      <c r="J2906">
        <f>HYPERLINK("http://g1.globo.com/rs/rio-grande-do-sul/noticia/2015/05/chegada-de-haitianos-porto-alegre-e-adiada-apos-pedido-da-prefeitura.html", "URL")</f>
        <v/>
      </c>
      <c r="K2906">
        <f>HYPERLINK("https://raw.githubusercontent.com/marcosmapl/dataset_imigrantes/main/noticias_filtered/g1/haitianos/2015/04_mai/html/g1_eac91c9e-22f7-11ed-b24f-6dbe51e79fca_2104.html", "HTML")</f>
        <v/>
      </c>
      <c r="L2906">
        <f>HYPERLINK("https://raw.githubusercontent.com/marcosmapl/dataset_imigrantes/main/noticias_filtered/g1/haitianos/2015/04_mai/txt/g1_eac91c9e-22f7-11ed-b24f-6dbe51e79fca_2104.txt", "TXT")</f>
        <v/>
      </c>
    </row>
    <row r="2907">
      <c r="A2907" s="1" t="n">
        <v>2905</v>
      </c>
      <c r="B2907" t="n">
        <v>2015</v>
      </c>
      <c r="C2907" s="2" t="n">
        <v>42145.57986111111</v>
      </c>
      <c r="D2907" t="inlineStr">
        <is>
          <t>G1</t>
        </is>
      </c>
      <c r="E2907" t="inlineStr">
        <is>
          <t>HAITIANOS</t>
        </is>
      </c>
      <c r="F2907" t="inlineStr"/>
      <c r="G2907" t="inlineStr">
        <is>
          <t>ON DOURADORIO BRANCO</t>
        </is>
      </c>
      <c r="H2907" t="inlineStr">
        <is>
          <t>GOVERNO DETERMINA SUSPENSÃO DO ENVIO DE HAITIANOS PARA SÃO PAULO</t>
        </is>
      </c>
      <c r="I2907" t="inlineStr"/>
      <c r="J2907">
        <f>HYPERLINK("http://g1.globo.com/jornal-hoje/noticia/2015/05/governo-determina-suspensao-do-envio-de-haitianos-para-sao-paulo.html", "URL")</f>
        <v/>
      </c>
      <c r="K2907">
        <f>HYPERLINK("https://raw.githubusercontent.com/marcosmapl/dataset_imigrantes/main/noticias_filtered/g1/haitianos/2015/04_mai/html/g1_c97fc382-22f5-11ed-b24f-6dbe51e79fca_1972.html", "HTML")</f>
        <v/>
      </c>
      <c r="L2907">
        <f>HYPERLINK("https://raw.githubusercontent.com/marcosmapl/dataset_imigrantes/main/noticias_filtered/g1/haitianos/2015/04_mai/txt/g1_c97fc382-22f5-11ed-b24f-6dbe51e79fca_1972.txt", "TXT")</f>
        <v/>
      </c>
    </row>
    <row r="2908">
      <c r="A2908" s="1" t="n">
        <v>2906</v>
      </c>
      <c r="B2908" t="n">
        <v>2015</v>
      </c>
      <c r="C2908" s="2" t="n">
        <v>42145.45</v>
      </c>
      <c r="D2908" t="inlineStr">
        <is>
          <t>G1</t>
        </is>
      </c>
      <c r="E2908" t="inlineStr">
        <is>
          <t>HAITIANOS</t>
        </is>
      </c>
      <c r="F2908" t="inlineStr"/>
      <c r="G2908" t="inlineStr">
        <is>
          <t xml:space="preserve"> MARCELDO G1 AC</t>
        </is>
      </c>
      <c r="H2908" t="inlineStr">
        <is>
          <t>SEM VIAGENS PARA SP, HAITIANOS NO AC TÊM QUE ESCOLHER NOVOS DESTINOS</t>
        </is>
      </c>
      <c r="I2908" t="inlineStr"/>
      <c r="J2908">
        <f>HYPERLINK("http://g1.globo.com/ac/acre/noticia/2015/05/sem-viagens-para-sp-imigrantes-no-ac-tem-que-optar-por-novas-rotas.html", "URL")</f>
        <v/>
      </c>
      <c r="K2908">
        <f>HYPERLINK("https://raw.githubusercontent.com/marcosmapl/dataset_imigrantes/main/noticias_filtered/g1/haitianos/2015/04_mai/html/g1_433a9482-22f5-11ed-b24f-6dbe51e79fca_1939.html", "HTML")</f>
        <v/>
      </c>
      <c r="L2908">
        <f>HYPERLINK("https://raw.githubusercontent.com/marcosmapl/dataset_imigrantes/main/noticias_filtered/g1/haitianos/2015/04_mai/txt/g1_433a9482-22f5-11ed-b24f-6dbe51e79fca_1939.txt", "TXT")</f>
        <v/>
      </c>
    </row>
    <row r="2909">
      <c r="A2909" s="1" t="n">
        <v>2907</v>
      </c>
      <c r="B2909" t="n">
        <v>2015</v>
      </c>
      <c r="C2909" s="2" t="n">
        <v>42145.25763888889</v>
      </c>
      <c r="D2909" t="inlineStr">
        <is>
          <t>G1</t>
        </is>
      </c>
      <c r="E2909" t="inlineStr">
        <is>
          <t>HAITIANOS</t>
        </is>
      </c>
      <c r="F2909" t="inlineStr"/>
      <c r="G2909" t="inlineStr"/>
      <c r="H2909" t="inlineStr">
        <is>
          <t>TRÊS HAITIANOS JÁ MORRERAM NO ACRE POR PROBLEMAS DE SAÚDE</t>
        </is>
      </c>
      <c r="I2909" t="inlineStr"/>
      <c r="J2909">
        <f>HYPERLINK("http://g1.globo.com/hora1/noticia/2015/05/tres-haitianos-ja-morreram-no-acre-por-problemas-de-saude.html", "URL")</f>
        <v/>
      </c>
      <c r="K2909">
        <f>HYPERLINK("https://raw.githubusercontent.com/marcosmapl/dataset_imigrantes/main/noticias_filtered/g1/haitianos/2015/04_mai/html/g1_2322517e-22f2-11ed-b24f-6dbe51e79fca_1780.html", "HTML")</f>
        <v/>
      </c>
      <c r="L2909">
        <f>HYPERLINK("https://raw.githubusercontent.com/marcosmapl/dataset_imigrantes/main/noticias_filtered/g1/haitianos/2015/04_mai/txt/g1_2322517e-22f2-11ed-b24f-6dbe51e79fca_1780.txt", "TXT")</f>
        <v/>
      </c>
    </row>
    <row r="2910">
      <c r="A2910" s="1" t="n">
        <v>2908</v>
      </c>
      <c r="B2910" t="n">
        <v>2015</v>
      </c>
      <c r="C2910" s="2" t="n">
        <v>42144.69861111111</v>
      </c>
      <c r="D2910" t="inlineStr">
        <is>
          <t>G1</t>
        </is>
      </c>
      <c r="E2910" t="inlineStr">
        <is>
          <t>HAITIANOS</t>
        </is>
      </c>
      <c r="F2910" t="inlineStr"/>
      <c r="G2910" t="inlineStr">
        <is>
          <t>1 SÃO PAULO</t>
        </is>
      </c>
      <c r="H2910" t="inlineStr">
        <is>
          <t>HADDAD DIZ QUE SUSPENSÃO DE VINDA DE HAITIANOS É 'PARA ACOLHER MELHOR'</t>
        </is>
      </c>
      <c r="I2910" t="inlineStr"/>
      <c r="J2910">
        <f>HYPERLINK("http://g1.globo.com/sao-paulo/noticia/2015/05/haddad-diz-que-suspensao-de-vinda-de-haitianos-e-para-acolher-melhor.html", "URL")</f>
        <v/>
      </c>
      <c r="K2910">
        <f>HYPERLINK("https://raw.githubusercontent.com/marcosmapl/dataset_imigrantes/main/noticias_filtered/g1/haitianos/2015/04_mai/html/g1_67eeaa52-22f5-11ed-b24f-6dbe51e79fca_1947.html", "HTML")</f>
        <v/>
      </c>
      <c r="L2910">
        <f>HYPERLINK("https://raw.githubusercontent.com/marcosmapl/dataset_imigrantes/main/noticias_filtered/g1/haitianos/2015/04_mai/txt/g1_67eeaa52-22f5-11ed-b24f-6dbe51e79fca_1947.txt", "TXT")</f>
        <v/>
      </c>
    </row>
    <row r="2911">
      <c r="A2911" s="1" t="n">
        <v>2909</v>
      </c>
      <c r="B2911" t="n">
        <v>2015</v>
      </c>
      <c r="C2911" s="2" t="n">
        <v>42144.64375</v>
      </c>
      <c r="D2911" t="inlineStr">
        <is>
          <t>G1</t>
        </is>
      </c>
      <c r="E2911" t="inlineStr">
        <is>
          <t>HAITIANOS</t>
        </is>
      </c>
      <c r="F2911" t="inlineStr"/>
      <c r="G2911" t="inlineStr">
        <is>
          <t>1 AC</t>
        </is>
      </c>
      <c r="H2911" t="inlineStr">
        <is>
          <t>HAITIANO MORRE COM INSUFICIÊNCIA RENAL EM RIO BRANCO</t>
        </is>
      </c>
      <c r="I2911" t="inlineStr"/>
      <c r="J2911">
        <f>HYPERLINK("http://g1.globo.com/ac/acre/noticia/2015/05/haitiano-morre-com-insuficiencia-renal-em-rio-branco.html", "URL")</f>
        <v/>
      </c>
      <c r="K2911">
        <f>HYPERLINK("https://raw.githubusercontent.com/marcosmapl/dataset_imigrantes/main/noticias_filtered/g1/haitianos/2015/04_mai/html/g1_bd4ac028-22f8-11ed-b24f-6dbe51e79fca_2155.html", "HTML")</f>
        <v/>
      </c>
      <c r="L2911">
        <f>HYPERLINK("https://raw.githubusercontent.com/marcosmapl/dataset_imigrantes/main/noticias_filtered/g1/haitianos/2015/04_mai/txt/g1_bd4ac028-22f8-11ed-b24f-6dbe51e79fca_2155.txt", "TXT")</f>
        <v/>
      </c>
    </row>
    <row r="2912">
      <c r="A2912" s="1" t="n">
        <v>2910</v>
      </c>
      <c r="B2912" t="n">
        <v>2015</v>
      </c>
      <c r="C2912" s="2" t="n">
        <v>42144.59166666667</v>
      </c>
      <c r="D2912" t="inlineStr">
        <is>
          <t>G1</t>
        </is>
      </c>
      <c r="E2912" t="inlineStr">
        <is>
          <t>HAITIANOS</t>
        </is>
      </c>
      <c r="F2912" t="inlineStr"/>
      <c r="G2912" t="inlineStr">
        <is>
          <t>IPE SIANISÃO PAULO, SP</t>
        </is>
      </c>
      <c r="H2912" t="inlineStr">
        <is>
          <t>PREFEITO DE SÃO PAULO DIZ QUE NÃO FOI AVISADO SOBRE CHEGADA DE HAITIANOS</t>
        </is>
      </c>
      <c r="I2912" t="inlineStr"/>
      <c r="J2912">
        <f>HYPERLINK("http://g1.globo.com/jornal-hoje/noticia/2015/05/prefeito-de-sao-paulo-diz-que-nao-foi-avisado-sobre-chegada-de-haitianos.html", "URL")</f>
        <v/>
      </c>
      <c r="K2912">
        <f>HYPERLINK("https://raw.githubusercontent.com/marcosmapl/dataset_imigrantes/main/noticias_filtered/g1/haitianos/2015/04_mai/html/g1_3375d600-22f1-11ed-b24f-6dbe51e79fca_1740.html", "HTML")</f>
        <v/>
      </c>
      <c r="L2912">
        <f>HYPERLINK("https://raw.githubusercontent.com/marcosmapl/dataset_imigrantes/main/noticias_filtered/g1/haitianos/2015/04_mai/txt/g1_3375d600-22f1-11ed-b24f-6dbe51e79fca_1740.txt", "TXT")</f>
        <v/>
      </c>
    </row>
    <row r="2913">
      <c r="A2913" s="1" t="n">
        <v>2911</v>
      </c>
      <c r="B2913" t="n">
        <v>2015</v>
      </c>
      <c r="C2913" s="2" t="n">
        <v>42144.52152777778</v>
      </c>
      <c r="D2913" t="inlineStr">
        <is>
          <t>G1</t>
        </is>
      </c>
      <c r="E2913" t="inlineStr">
        <is>
          <t>HAITIANOS</t>
        </is>
      </c>
      <c r="F2913" t="inlineStr"/>
      <c r="G2913" t="inlineStr">
        <is>
          <t>1 SÃO PAULO</t>
        </is>
      </c>
      <c r="H2913" t="inlineStr">
        <is>
          <t>EMPREGO PARA HAITIANOS CAIU PARA 5%, DIZ PADRE QUE ACOLHE IMIGRANTES EM SP</t>
        </is>
      </c>
      <c r="I2913" t="inlineStr"/>
      <c r="J2913">
        <f>HYPERLINK("http://g1.globo.com/sao-paulo/noticia/2015/05/emprego-para-haitianos-caiu-para-5-diz-padre-que-acolhe-imigrantes-em-sp.html", "URL")</f>
        <v/>
      </c>
      <c r="K2913">
        <f>HYPERLINK("https://raw.githubusercontent.com/marcosmapl/dataset_imigrantes/main/noticias_filtered/g1/haitianos/2015/04_mai/html/g1_99516270-22f4-11ed-b24f-6dbe51e79fca_1900.html", "HTML")</f>
        <v/>
      </c>
      <c r="L2913">
        <f>HYPERLINK("https://raw.githubusercontent.com/marcosmapl/dataset_imigrantes/main/noticias_filtered/g1/haitianos/2015/04_mai/txt/g1_99516270-22f4-11ed-b24f-6dbe51e79fca_1900.txt", "TXT")</f>
        <v/>
      </c>
    </row>
    <row r="2914">
      <c r="A2914" s="1" t="n">
        <v>2912</v>
      </c>
      <c r="B2914" t="n">
        <v>2015</v>
      </c>
      <c r="C2914" s="2" t="n">
        <v>42144.50902777778</v>
      </c>
      <c r="D2914" t="inlineStr">
        <is>
          <t>G1</t>
        </is>
      </c>
      <c r="E2914" t="inlineStr">
        <is>
          <t>HAITIANOS</t>
        </is>
      </c>
      <c r="F2914" t="inlineStr"/>
      <c r="G2914" t="inlineStr">
        <is>
          <t>1 RS</t>
        </is>
      </c>
      <c r="H2914" t="inlineStr">
        <is>
          <t>PORTO ALEGRE SE PREPARA PARA RECEBER HAITIANOS, CASO DESEMBARQUEM NO RS</t>
        </is>
      </c>
      <c r="I2914" t="inlineStr"/>
      <c r="J2914">
        <f>HYPERLINK("http://g1.globo.com/rs/rio-grande-do-sul/noticia/2015/05/porto-alegre-se-prepara-para-receber-haitianos-caso-desembarquem-no-rs.html", "URL")</f>
        <v/>
      </c>
      <c r="K2914">
        <f>HYPERLINK("https://raw.githubusercontent.com/marcosmapl/dataset_imigrantes/main/noticias_filtered/g1/haitianos/2015/04_mai/html/g1_15abcf2c-22fa-11ed-b24f-6dbe51e79fca_2198.html", "HTML")</f>
        <v/>
      </c>
      <c r="L2914">
        <f>HYPERLINK("https://raw.githubusercontent.com/marcosmapl/dataset_imigrantes/main/noticias_filtered/g1/haitianos/2015/04_mai/txt/g1_15abcf2c-22fa-11ed-b24f-6dbe51e79fca_2198.txt", "TXT")</f>
        <v/>
      </c>
    </row>
    <row r="2915">
      <c r="A2915" s="1" t="n">
        <v>2913</v>
      </c>
      <c r="B2915" t="n">
        <v>2015</v>
      </c>
      <c r="C2915" s="2" t="n">
        <v>42144.25</v>
      </c>
      <c r="D2915" t="inlineStr">
        <is>
          <t>G1</t>
        </is>
      </c>
      <c r="E2915" t="inlineStr">
        <is>
          <t>HAITIANOS</t>
        </is>
      </c>
      <c r="F2915" t="inlineStr"/>
      <c r="G2915" t="inlineStr">
        <is>
          <t>LINA DANTASDO G1 SÃO PAULO</t>
        </is>
      </c>
      <c r="H2915" t="inlineStr">
        <is>
          <t>'ESTAMOS EM EMERGÊNCIA', DIZ PADRE QUE ACOLHE HAITIANOS EM SP</t>
        </is>
      </c>
      <c r="I2915" t="inlineStr"/>
      <c r="J2915">
        <f>HYPERLINK("http://g1.globo.com/sao-paulo/noticia/2015/05/estamos-em-emergencia-diz-padre-que-acolhe-haitianos-em-sp.html", "URL")</f>
        <v/>
      </c>
      <c r="K2915">
        <f>HYPERLINK("https://raw.githubusercontent.com/marcosmapl/dataset_imigrantes/main/noticias_filtered/g1/haitianos/2015/04_mai/html/g1_8dcef63c-22f0-11ed-b24f-6dbe51e79fca_1709.html", "HTML")</f>
        <v/>
      </c>
      <c r="L2915">
        <f>HYPERLINK("https://raw.githubusercontent.com/marcosmapl/dataset_imigrantes/main/noticias_filtered/g1/haitianos/2015/04_mai/txt/g1_8dcef63c-22f0-11ed-b24f-6dbe51e79fca_1709.txt", "TXT")</f>
        <v/>
      </c>
    </row>
    <row r="2916">
      <c r="A2916" s="1" t="n">
        <v>2914</v>
      </c>
      <c r="B2916" t="n">
        <v>2015</v>
      </c>
      <c r="C2916" s="2" t="n">
        <v>42143.94305555556</v>
      </c>
      <c r="D2916" t="inlineStr">
        <is>
          <t>G1</t>
        </is>
      </c>
      <c r="E2916" t="inlineStr">
        <is>
          <t>HAITIANOS</t>
        </is>
      </c>
      <c r="F2916" t="inlineStr"/>
      <c r="G2916" t="inlineStr">
        <is>
          <t>1 RS</t>
        </is>
      </c>
      <c r="H2916" t="inlineStr">
        <is>
          <t>ENVIO DE IMIGRANTES HAITIANOS DO ACRE SURPREENDE PREFEITURA DE PORTO ALEGRE</t>
        </is>
      </c>
      <c r="I2916" t="inlineStr"/>
      <c r="J2916">
        <f>HYPERLINK("http://g1.globo.com/rs/rio-grande-do-sul/noticia/2015/05/envio-de-imigrantes-haitianos-do-acre-surpreende-prefeitura-de-porto-alegre.html", "URL")</f>
        <v/>
      </c>
      <c r="K2916">
        <f>HYPERLINK("https://raw.githubusercontent.com/marcosmapl/dataset_imigrantes/main/noticias_filtered/g1/haitianos/2015/04_mai/html/g1_8ab464c0-22f3-11ed-b24f-6dbe51e79fca_1845.html", "HTML")</f>
        <v/>
      </c>
      <c r="L2916">
        <f>HYPERLINK("https://raw.githubusercontent.com/marcosmapl/dataset_imigrantes/main/noticias_filtered/g1/haitianos/2015/04_mai/txt/g1_8ab464c0-22f3-11ed-b24f-6dbe51e79fca_1845.txt", "TXT")</f>
        <v/>
      </c>
    </row>
    <row r="2917">
      <c r="A2917" s="1" t="n">
        <v>2915</v>
      </c>
      <c r="B2917" t="n">
        <v>2015</v>
      </c>
      <c r="C2917" s="2" t="n">
        <v>42143.86041666667</v>
      </c>
      <c r="D2917" t="inlineStr">
        <is>
          <t>G1</t>
        </is>
      </c>
      <c r="E2917" t="inlineStr">
        <is>
          <t>HAITIANOS</t>
        </is>
      </c>
      <c r="F2917" t="inlineStr"/>
      <c r="G2917" t="inlineStr">
        <is>
          <t>LINA DANTASDO G1 SÃO PAULO</t>
        </is>
      </c>
      <c r="H2917" t="inlineStr">
        <is>
          <t>ACORDO SUSPENDE ENVIO DE HAITIANOS DO ACRE PARA A CIDADE DE SÃO PAULO</t>
        </is>
      </c>
      <c r="I2917" t="inlineStr"/>
      <c r="J2917">
        <f>HYPERLINK("http://g1.globo.com/sao-paulo/noticia/2015/05/ministerio-da-justica-suspende-envio-de-haitianos-do-acre-outros-estados.html", "URL")</f>
        <v/>
      </c>
      <c r="K2917">
        <f>HYPERLINK("https://raw.githubusercontent.com/marcosmapl/dataset_imigrantes/main/noticias_filtered/g1/haitianos/2015/04_mai/html/g1_13d20cbe-22f2-11ed-b24f-6dbe51e79fca_1778.html", "HTML")</f>
        <v/>
      </c>
      <c r="L2917">
        <f>HYPERLINK("https://raw.githubusercontent.com/marcosmapl/dataset_imigrantes/main/noticias_filtered/g1/haitianos/2015/04_mai/txt/g1_13d20cbe-22f2-11ed-b24f-6dbe51e79fca_1778.txt", "TXT")</f>
        <v/>
      </c>
    </row>
    <row r="2918">
      <c r="A2918" s="1" t="n">
        <v>2916</v>
      </c>
      <c r="B2918" t="n">
        <v>2015</v>
      </c>
      <c r="C2918" s="2" t="n">
        <v>42143.425</v>
      </c>
      <c r="D2918" t="inlineStr">
        <is>
          <t>G1</t>
        </is>
      </c>
      <c r="E2918" t="inlineStr">
        <is>
          <t>HAITIANOS</t>
        </is>
      </c>
      <c r="F2918" t="inlineStr"/>
      <c r="G2918" t="inlineStr">
        <is>
          <t xml:space="preserve"> RODRIGUESDO G1 AC</t>
        </is>
      </c>
      <c r="H2918" t="inlineStr">
        <is>
          <t>REPRESENTANTES DE EMBAIXADAS VÊM AO AC CONHECER ABRIGO DE IMIGRANTES</t>
        </is>
      </c>
      <c r="I2918" t="inlineStr"/>
      <c r="J2918">
        <f>HYPERLINK("http://g1.globo.com/ac/acre/noticia/2015/05/representantes-de-embaixadas-vem-ao-ac-conhecer-abrigo-de-imigrantes.html", "URL")</f>
        <v/>
      </c>
      <c r="K2918">
        <f>HYPERLINK("https://raw.githubusercontent.com/marcosmapl/dataset_imigrantes/main/noticias_filtered/g1/haitianos/2015/04_mai/html/g1_78ed8652-2313-11ed-b24f-6dbe51e79fca_3011.html", "HTML")</f>
        <v/>
      </c>
      <c r="L2918">
        <f>HYPERLINK("https://raw.githubusercontent.com/marcosmapl/dataset_imigrantes/main/noticias_filtered/g1/haitianos/2015/04_mai/txt/g1_78ed8652-2313-11ed-b24f-6dbe51e79fca_3011.txt", "TXT")</f>
        <v/>
      </c>
    </row>
    <row r="2919">
      <c r="A2919" s="1" t="n">
        <v>2917</v>
      </c>
      <c r="B2919" t="n">
        <v>2015</v>
      </c>
      <c r="C2919" s="2" t="n">
        <v>42139.41875</v>
      </c>
      <c r="D2919" t="inlineStr">
        <is>
          <t>G1</t>
        </is>
      </c>
      <c r="E2919" t="inlineStr">
        <is>
          <t>HAITIANOS</t>
        </is>
      </c>
      <c r="F2919" t="inlineStr"/>
      <c r="G2919" t="inlineStr">
        <is>
          <t>1 AM</t>
        </is>
      </c>
      <c r="H2919" t="inlineStr">
        <is>
          <t>NO BRASIL, JOVEM HAITIANO SONHA EM FAZER SUCESSO COM A MÚSICA</t>
        </is>
      </c>
      <c r="I2919" t="inlineStr"/>
      <c r="J2919">
        <f>HYPERLINK("http://g1.globo.com/am/amazonas/noticia/2015/05/no-brasil-jovem-haitiano-alimenta-sonho-da-fama-por-meio-da-musica.html", "URL")</f>
        <v/>
      </c>
      <c r="K2919">
        <f>HYPERLINK("https://raw.githubusercontent.com/marcosmapl/dataset_imigrantes/main/noticias_filtered/g1/haitianos/2015/04_mai/html/g1_b159c44a-2324-11ed-b24f-6dbe51e79fca_3882.html", "HTML")</f>
        <v/>
      </c>
      <c r="L2919">
        <f>HYPERLINK("https://raw.githubusercontent.com/marcosmapl/dataset_imigrantes/main/noticias_filtered/g1/haitianos/2015/04_mai/txt/g1_b159c44a-2324-11ed-b24f-6dbe51e79fca_3882.txt", "TXT")</f>
        <v/>
      </c>
    </row>
    <row r="2920">
      <c r="A2920" s="1" t="n">
        <v>2918</v>
      </c>
      <c r="B2920" t="n">
        <v>2015</v>
      </c>
      <c r="C2920" s="2" t="n">
        <v>42135.70277777778</v>
      </c>
      <c r="D2920" t="inlineStr">
        <is>
          <t>G1</t>
        </is>
      </c>
      <c r="E2920" t="inlineStr">
        <is>
          <t>HAITIANOS</t>
        </is>
      </c>
      <c r="F2920" t="inlineStr"/>
      <c r="G2920" t="inlineStr">
        <is>
          <t>IA MELODO G1 AC</t>
        </is>
      </c>
      <c r="H2920" t="inlineStr">
        <is>
          <t>APÓS MORTE DE IMIGRANTE, CONSELHEIRO DA EMBAIXADA DO HAITI VISITA O ACRE</t>
        </is>
      </c>
      <c r="I2920" t="inlineStr"/>
      <c r="J2920">
        <f>HYPERLINK("http://g1.globo.com/ac/acre/noticia/2015/05/apos-morte-de-imigrante-conselheiro-da-embaixada-do-haiti-visita-o-acre.html", "URL")</f>
        <v/>
      </c>
      <c r="K2920">
        <f>HYPERLINK("https://raw.githubusercontent.com/marcosmapl/dataset_imigrantes/main/noticias_filtered/g1/haitianos/2015/04_mai/html/g1_8e4cff1a-2308-11ed-b24f-6dbe51e79fca_2391.html", "HTML")</f>
        <v/>
      </c>
      <c r="L2920">
        <f>HYPERLINK("https://raw.githubusercontent.com/marcosmapl/dataset_imigrantes/main/noticias_filtered/g1/haitianos/2015/04_mai/txt/g1_8e4cff1a-2308-11ed-b24f-6dbe51e79fca_2391.txt", "TXT")</f>
        <v/>
      </c>
    </row>
    <row r="2921">
      <c r="A2921" s="1" t="n">
        <v>2919</v>
      </c>
      <c r="B2921" t="n">
        <v>2015</v>
      </c>
      <c r="C2921" s="2" t="n">
        <v>42133.61666666667</v>
      </c>
      <c r="D2921" t="inlineStr">
        <is>
          <t>G1</t>
        </is>
      </c>
      <c r="E2921" t="inlineStr">
        <is>
          <t>HAITIANOS</t>
        </is>
      </c>
      <c r="F2921" t="inlineStr"/>
      <c r="G2921" t="inlineStr">
        <is>
          <t xml:space="preserve"> QUIQUIÔDO G1 RO</t>
        </is>
      </c>
      <c r="H2921" t="inlineStr">
        <is>
          <t>GRÁVIDAS EM RO, HAITIANAS VÃO CELEBRAR DIA DAS MÃES COM SAUDADES</t>
        </is>
      </c>
      <c r="I2921" t="inlineStr"/>
      <c r="J2921">
        <f>HYPERLINK("http://g1.globo.com/ro/rondonia/noticia/2015/05/gravidas-em-ro-haitianas-vao-celebrar-dia-das-maes-com-saudades.html", "URL")</f>
        <v/>
      </c>
      <c r="K2921">
        <f>HYPERLINK("https://raw.githubusercontent.com/marcosmapl/dataset_imigrantes/main/noticias_filtered/g1/haitianos/2015/04_mai/html/g1_2d381056-230e-11ed-b24f-6dbe51e79fca_2726.html", "HTML")</f>
        <v/>
      </c>
      <c r="L2921">
        <f>HYPERLINK("https://raw.githubusercontent.com/marcosmapl/dataset_imigrantes/main/noticias_filtered/g1/haitianos/2015/04_mai/txt/g1_2d381056-230e-11ed-b24f-6dbe51e79fca_2726.txt", "TXT")</f>
        <v/>
      </c>
    </row>
    <row r="2922">
      <c r="A2922" s="1" t="n">
        <v>2920</v>
      </c>
      <c r="B2922" t="n">
        <v>2015</v>
      </c>
      <c r="C2922" s="2" t="n">
        <v>42130.64722222222</v>
      </c>
      <c r="D2922" t="inlineStr">
        <is>
          <t>G1</t>
        </is>
      </c>
      <c r="E2922" t="inlineStr">
        <is>
          <t>HAITIANOS</t>
        </is>
      </c>
      <c r="F2922" t="inlineStr"/>
      <c r="G2922" t="inlineStr">
        <is>
          <t xml:space="preserve"> FULGÊNCIODO G1 AC</t>
        </is>
      </c>
      <c r="H2922" t="inlineStr">
        <is>
          <t>HAITIANA QUE MORREU COM PNEUMONIA É ENTERRADA EM RIO BRANCO</t>
        </is>
      </c>
      <c r="I2922" t="inlineStr"/>
      <c r="J2922">
        <f>HYPERLINK("http://g1.globo.com/ac/acre/noticia/2015/05/haitiana-que-morreu-com-pneumonia-e-enterrada-em-rio-branco.html", "URL")</f>
        <v/>
      </c>
      <c r="K2922">
        <f>HYPERLINK("https://raw.githubusercontent.com/marcosmapl/dataset_imigrantes/main/noticias_filtered/g1/haitianos/2015/04_mai/html/g1_0dec2846-231c-11ed-b24f-6dbe51e79fca_3426.html", "HTML")</f>
        <v/>
      </c>
      <c r="L2922">
        <f>HYPERLINK("https://raw.githubusercontent.com/marcosmapl/dataset_imigrantes/main/noticias_filtered/g1/haitianos/2015/04_mai/txt/g1_0dec2846-231c-11ed-b24f-6dbe51e79fca_3426.txt", "TXT")</f>
        <v/>
      </c>
    </row>
    <row r="2923">
      <c r="A2923" s="1" t="n">
        <v>2921</v>
      </c>
      <c r="B2923" t="n">
        <v>2015</v>
      </c>
      <c r="C2923" s="2" t="n">
        <v>42130.22222222222</v>
      </c>
      <c r="D2923" t="inlineStr">
        <is>
          <t>G1</t>
        </is>
      </c>
      <c r="E2923" t="inlineStr">
        <is>
          <t>HAITIANOS</t>
        </is>
      </c>
      <c r="F2923" t="inlineStr"/>
      <c r="G2923" t="inlineStr">
        <is>
          <t>CILLA ANDRADERIO BRANCO</t>
        </is>
      </c>
      <c r="H2923" t="inlineStr">
        <is>
          <t>MORTE DE HAITIANA PROVOCA REAÇÃO DO ACRE À CHEGADA DE TANTOS IMIGRANTES</t>
        </is>
      </c>
      <c r="I2923" t="inlineStr"/>
      <c r="J2923">
        <f>HYPERLINK("http://g1.globo.com/hora1/noticia/2015/05/morte-de-haitiana-provoca-reacao-do-acre-chegada-de-tantos-imigrantes.html", "URL")</f>
        <v/>
      </c>
      <c r="K2923">
        <f>HYPERLINK("https://raw.githubusercontent.com/marcosmapl/dataset_imigrantes/main/noticias_filtered/g1/haitianos/2015/04_mai/html/g1_8ed36f60-22ee-11ed-b24f-6dbe51e79fca_1704.html", "HTML")</f>
        <v/>
      </c>
      <c r="L2923">
        <f>HYPERLINK("https://raw.githubusercontent.com/marcosmapl/dataset_imigrantes/main/noticias_filtered/g1/haitianos/2015/04_mai/txt/g1_8ed36f60-22ee-11ed-b24f-6dbe51e79fca_1704.txt", "TXT")</f>
        <v/>
      </c>
    </row>
    <row r="2924">
      <c r="A2924" s="1" t="n">
        <v>2922</v>
      </c>
      <c r="B2924" t="n">
        <v>2015</v>
      </c>
      <c r="C2924" s="2" t="n">
        <v>42129.66875</v>
      </c>
      <c r="D2924" t="inlineStr">
        <is>
          <t>G1</t>
        </is>
      </c>
      <c r="E2924" t="inlineStr">
        <is>
          <t>HAITIANOS</t>
        </is>
      </c>
      <c r="F2924" t="inlineStr"/>
      <c r="G2924" t="inlineStr">
        <is>
          <t>E NASCIMENTO E CAIO FULGÊNCIODO G1 AC</t>
        </is>
      </c>
      <c r="H2924" t="inlineStr">
        <is>
          <t>HAITIANA MORRE COM PNEUMONIA EM RIO BRANCO, SEGUNDO GOVERNO</t>
        </is>
      </c>
      <c r="I2924" t="inlineStr"/>
      <c r="J2924">
        <f>HYPERLINK("http://g1.globo.com/ac/acre/noticia/2015/05/haitiana-morre-com-tuberculose-em-em-rio-branco-confirma-sejudh.html", "URL")</f>
        <v/>
      </c>
      <c r="K2924">
        <f>HYPERLINK("https://raw.githubusercontent.com/marcosmapl/dataset_imigrantes/main/noticias_filtered/g1/haitianos/2015/04_mai/html/g1_103eb12e-22ed-11ed-b24f-6dbe51e79fca_1677.html", "HTML")</f>
        <v/>
      </c>
      <c r="L2924">
        <f>HYPERLINK("https://raw.githubusercontent.com/marcosmapl/dataset_imigrantes/main/noticias_filtered/g1/haitianos/2015/04_mai/txt/g1_103eb12e-22ed-11ed-b24f-6dbe51e79fca_1677.txt", "TXT")</f>
        <v/>
      </c>
    </row>
    <row r="2925">
      <c r="A2925" s="1" t="n">
        <v>2923</v>
      </c>
      <c r="B2925" t="n">
        <v>2015</v>
      </c>
      <c r="C2925" s="2" t="n">
        <v>42125.65486111111</v>
      </c>
      <c r="D2925" t="inlineStr">
        <is>
          <t>G1</t>
        </is>
      </c>
      <c r="E2925" t="inlineStr">
        <is>
          <t>HAITIANOS</t>
        </is>
      </c>
      <c r="F2925" t="inlineStr"/>
      <c r="G2925" t="inlineStr">
        <is>
          <t>1 SC</t>
        </is>
      </c>
      <c r="H2925" t="inlineStr">
        <is>
          <t>EM BUSCA DE TRABALHO, HAITIANOS SÃO MAIORIA ENTRE ESTRANGEIROS EM JOINVILLE</t>
        </is>
      </c>
      <c r="I2925" t="inlineStr"/>
      <c r="J2925">
        <f>HYPERLINK("http://g1.globo.com/sc/santa-catarina/noticia/2015/05/em-busca-de-trabalho-haitianos-sao-maioria-entre-estrangeiros-em-joinville.html", "URL")</f>
        <v/>
      </c>
      <c r="K2925">
        <f>HYPERLINK("https://raw.githubusercontent.com/marcosmapl/dataset_imigrantes/main/noticias_filtered/g1/haitianos/2015/04_mai/html/g1_b839c21c-22fa-11ed-b24f-6dbe51e79fca_2237.html", "HTML")</f>
        <v/>
      </c>
      <c r="L2925">
        <f>HYPERLINK("https://raw.githubusercontent.com/marcosmapl/dataset_imigrantes/main/noticias_filtered/g1/haitianos/2015/04_mai/txt/g1_b839c21c-22fa-11ed-b24f-6dbe51e79fca_2237.txt", "TXT")</f>
        <v/>
      </c>
    </row>
    <row r="2926">
      <c r="A2926" s="1" t="n">
        <v>2924</v>
      </c>
      <c r="B2926" t="n">
        <v>2015</v>
      </c>
      <c r="C2926" s="2" t="n">
        <v>42122.39444444444</v>
      </c>
      <c r="D2926" t="inlineStr">
        <is>
          <t>G1</t>
        </is>
      </c>
      <c r="E2926" t="inlineStr">
        <is>
          <t>HAITIANOS</t>
        </is>
      </c>
      <c r="F2926" t="inlineStr"/>
      <c r="G2926" t="inlineStr">
        <is>
          <t>BC</t>
        </is>
      </c>
      <c r="H2926" t="inlineStr">
        <is>
          <t>HAITI APOSTA EM EX-REFÚGIOS PIRATAS PARA ESTIMULAR TURISMO</t>
        </is>
      </c>
      <c r="I2926" t="inlineStr"/>
      <c r="J2926">
        <f>HYPERLINK("http://g1.globo.com/turismo-e-viagem/noticia/2015/04/haiti-aposta-em-ex-refugios-piratas-para-estimular-turismo.html", "URL")</f>
        <v/>
      </c>
      <c r="K2926">
        <f>HYPERLINK("https://raw.githubusercontent.com/marcosmapl/dataset_imigrantes/main/noticias_filtered/g1/haitianos/2015/03_abr/html/g1_e913eada-232b-11ed-b24f-6dbe51e79fca_4277.html", "HTML")</f>
        <v/>
      </c>
      <c r="L2926">
        <f>HYPERLINK("https://raw.githubusercontent.com/marcosmapl/dataset_imigrantes/main/noticias_filtered/g1/haitianos/2015/03_abr/txt/g1_e913eada-232b-11ed-b24f-6dbe51e79fca_4277.txt", "TXT")</f>
        <v/>
      </c>
    </row>
    <row r="2927">
      <c r="A2927" s="1" t="n">
        <v>2925</v>
      </c>
      <c r="B2927" t="n">
        <v>2015</v>
      </c>
      <c r="C2927" s="2" t="n">
        <v>42120.39513888889</v>
      </c>
      <c r="D2927" t="inlineStr">
        <is>
          <t>G1</t>
        </is>
      </c>
      <c r="E2927" t="inlineStr">
        <is>
          <t>HAITIANOS</t>
        </is>
      </c>
      <c r="F2927" t="inlineStr"/>
      <c r="G2927" t="inlineStr">
        <is>
          <t>1 MT</t>
        </is>
      </c>
      <c r="H2927" t="inlineStr">
        <is>
          <t>UNIVERSITÁRIOS PRODUZEM VÍDEO SOBRE COTIDIANO DE HAITIANOS EM CUIABÁ</t>
        </is>
      </c>
      <c r="I2927" t="inlineStr"/>
      <c r="J2927">
        <f>HYPERLINK("http://g1.globo.com/mato-grosso/noticia/2015/04/universitarios-produzem-video-sobre-o-cotidiano-de-haitianos-em-cuiaba.html", "URL")</f>
        <v/>
      </c>
      <c r="K2927">
        <f>HYPERLINK("https://raw.githubusercontent.com/marcosmapl/dataset_imigrantes/main/noticias_filtered/g1/haitianos/2015/03_abr/html/g1_99cea022-22fa-11ed-b24f-6dbe51e79fca_2230.html", "HTML")</f>
        <v/>
      </c>
      <c r="L2927">
        <f>HYPERLINK("https://raw.githubusercontent.com/marcosmapl/dataset_imigrantes/main/noticias_filtered/g1/haitianos/2015/03_abr/txt/g1_99cea022-22fa-11ed-b24f-6dbe51e79fca_2230.txt", "TXT")</f>
        <v/>
      </c>
    </row>
    <row r="2928">
      <c r="A2928" s="1" t="n">
        <v>2926</v>
      </c>
      <c r="B2928" t="n">
        <v>2015</v>
      </c>
      <c r="C2928" s="2" t="n">
        <v>42106.87638888889</v>
      </c>
      <c r="D2928" t="inlineStr">
        <is>
          <t>G1</t>
        </is>
      </c>
      <c r="E2928" t="inlineStr">
        <is>
          <t>HAITIANOS</t>
        </is>
      </c>
      <c r="F2928" t="inlineStr"/>
      <c r="G2928" t="inlineStr">
        <is>
          <t xml:space="preserve"> RODRIGUESDO G1 AC</t>
        </is>
      </c>
      <c r="H2928" t="inlineStr">
        <is>
          <t>'DESESPERO', DIZ HAITIANA APÓS SER SEPARADA DA FILHA NA FRONTEIRA DO AC</t>
        </is>
      </c>
      <c r="I2928" t="inlineStr"/>
      <c r="J2928">
        <f>HYPERLINK("http://g1.globo.com/ac/acre/noticia/2015/04/desespero-diz-haitiana-apos-ser-separada-da-filha-na-fronteira-do-ac.html", "URL")</f>
        <v/>
      </c>
      <c r="K2928">
        <f>HYPERLINK("https://raw.githubusercontent.com/marcosmapl/dataset_imigrantes/main/noticias_filtered/g1/haitianos/2015/03_abr/html/g1_b061ce38-2311-11ed-b24f-6dbe51e79fca_2929.html", "HTML")</f>
        <v/>
      </c>
      <c r="L2928">
        <f>HYPERLINK("https://raw.githubusercontent.com/marcosmapl/dataset_imigrantes/main/noticias_filtered/g1/haitianos/2015/03_abr/txt/g1_b061ce38-2311-11ed-b24f-6dbe51e79fca_2929.txt", "TXT")</f>
        <v/>
      </c>
    </row>
    <row r="2929">
      <c r="A2929" s="1" t="n">
        <v>2927</v>
      </c>
      <c r="B2929" t="n">
        <v>2015</v>
      </c>
      <c r="C2929" s="2" t="n">
        <v>42103.74722222222</v>
      </c>
      <c r="D2929" t="inlineStr">
        <is>
          <t>G1</t>
        </is>
      </c>
      <c r="E2929" t="inlineStr">
        <is>
          <t>HAITIANOS</t>
        </is>
      </c>
      <c r="F2929" t="inlineStr"/>
      <c r="G2929" t="inlineStr">
        <is>
          <t>FP</t>
        </is>
      </c>
      <c r="H2929" t="inlineStr">
        <is>
          <t>NAUFRÁGIO EM FRENTE À COSTA DO HAITI DEIXA 21 MORTOS</t>
        </is>
      </c>
      <c r="I2929" t="inlineStr"/>
      <c r="J2929">
        <f>HYPERLINK("http://g1.globo.com/mundo/noticia/2015/04/naufragio-em-frente-costa-do-haiti-deixa-21-mortos.html", "URL")</f>
        <v/>
      </c>
      <c r="K2929">
        <f>HYPERLINK("https://raw.githubusercontent.com/marcosmapl/dataset_imigrantes/main/noticias_filtered/g1/haitianos/2015/03_abr/html/g1_32e36ed0-2316-11ed-b24f-6dbe51e79fca_3132.html", "HTML")</f>
        <v/>
      </c>
      <c r="L2929">
        <f>HYPERLINK("https://raw.githubusercontent.com/marcosmapl/dataset_imigrantes/main/noticias_filtered/g1/haitianos/2015/03_abr/txt/g1_32e36ed0-2316-11ed-b24f-6dbe51e79fca_3132.txt", "TXT")</f>
        <v/>
      </c>
    </row>
    <row r="2930">
      <c r="A2930" s="1" t="n">
        <v>2928</v>
      </c>
      <c r="B2930" t="n">
        <v>2015</v>
      </c>
      <c r="C2930" s="2" t="n">
        <v>42101.62152777778</v>
      </c>
      <c r="D2930" t="inlineStr">
        <is>
          <t>G1</t>
        </is>
      </c>
      <c r="E2930" t="inlineStr">
        <is>
          <t>HAITIANOS</t>
        </is>
      </c>
      <c r="F2930" t="inlineStr"/>
      <c r="G2930" t="inlineStr">
        <is>
          <t>LE MELHADODO G1 VALE DO PARAÍBA  E REGIÃO</t>
        </is>
      </c>
      <c r="H2930" t="inlineStr">
        <is>
          <t>IMIGRANTES HAITIANOS ACOLHIDOS EM JACAREÍ BUSCAM EMPREGO NO VALE</t>
        </is>
      </c>
      <c r="I2930" t="inlineStr"/>
      <c r="J2930">
        <f>HYPERLINK("http://g1.globo.com/sp/vale-do-paraiba-regiao/noticia/2015/04/imigrantes-haitianos-acolhidos-em-jacarei-buscam-emprego-no-vale.html", "URL")</f>
        <v/>
      </c>
      <c r="K2930">
        <f>HYPERLINK("https://raw.githubusercontent.com/marcosmapl/dataset_imigrantes/main/noticias_filtered/g1/haitianos/2015/03_abr/html/g1_fec1f35a-22f3-11ed-b24f-6dbe51e79fca_1869.html", "HTML")</f>
        <v/>
      </c>
      <c r="L2930">
        <f>HYPERLINK("https://raw.githubusercontent.com/marcosmapl/dataset_imigrantes/main/noticias_filtered/g1/haitianos/2015/03_abr/txt/g1_fec1f35a-22f3-11ed-b24f-6dbe51e79fca_1869.txt", "TXT")</f>
        <v/>
      </c>
    </row>
    <row r="2931">
      <c r="A2931" s="1" t="n">
        <v>2929</v>
      </c>
      <c r="B2931" t="n">
        <v>2015</v>
      </c>
      <c r="C2931" s="2" t="n">
        <v>42097.39375</v>
      </c>
      <c r="D2931" t="inlineStr">
        <is>
          <t>G1</t>
        </is>
      </c>
      <c r="E2931" t="inlineStr">
        <is>
          <t>HAITIANOS</t>
        </is>
      </c>
      <c r="F2931" t="inlineStr"/>
      <c r="G2931" t="inlineStr">
        <is>
          <t>OAN SANTIAGODO G1 AP</t>
        </is>
      </c>
      <c r="H2931" t="inlineStr">
        <is>
          <t>HAITIANA É DIAGNOSTICADA COM TUBERCULOSE EM HOSPITAL DE MACAPÁ</t>
        </is>
      </c>
      <c r="I2931" t="inlineStr"/>
      <c r="J2931">
        <f>HYPERLINK("http://g1.globo.com/ap/amapa/noticia/2015/04/haitiana-e-diagnosticada-com-tuberculose-em-hospital-de-macapa.html", "URL")</f>
        <v/>
      </c>
      <c r="K2931">
        <f>HYPERLINK("https://raw.githubusercontent.com/marcosmapl/dataset_imigrantes/main/noticias_filtered/g1/haitianos/2015/03_abr/html/g1_3c11eefa-2325-11ed-b24f-6dbe51e79fca_3902.html", "HTML")</f>
        <v/>
      </c>
      <c r="L2931">
        <f>HYPERLINK("https://raw.githubusercontent.com/marcosmapl/dataset_imigrantes/main/noticias_filtered/g1/haitianos/2015/03_abr/txt/g1_3c11eefa-2325-11ed-b24f-6dbe51e79fca_3902.txt", "TXT")</f>
        <v/>
      </c>
    </row>
    <row r="2932">
      <c r="A2932" s="1" t="n">
        <v>2930</v>
      </c>
      <c r="B2932" t="n">
        <v>2015</v>
      </c>
      <c r="C2932" s="2" t="n">
        <v>42090.49583333333</v>
      </c>
      <c r="D2932" t="inlineStr">
        <is>
          <t>G1</t>
        </is>
      </c>
      <c r="E2932" t="inlineStr">
        <is>
          <t>VENEZUELANOS</t>
        </is>
      </c>
      <c r="F2932" t="inlineStr"/>
      <c r="G2932" t="inlineStr">
        <is>
          <t>1 AC</t>
        </is>
      </c>
      <c r="H2932" t="inlineStr">
        <is>
          <t>VENEZUELANA É PRESA COM MAIS DE 10 KG DE CLORIDRATO DE COCAÍNA EM MALA</t>
        </is>
      </c>
      <c r="I2932" t="inlineStr"/>
      <c r="J2932">
        <f>HYPERLINK("http://g1.globo.com/ac/acre/noticia/2015/03/venezuelana-e-presa-com-mais-de-10-kg-de-cloridrato-de-cocaina-em-mala.html", "URL")</f>
        <v/>
      </c>
      <c r="K2932">
        <f>HYPERLINK("https://raw.githubusercontent.com/marcosmapl/dataset_imigrantes/main/noticias_filtered/g1/venezuelanos/2015/02_mar/html/g1_55f3e542-2313-11ed-b24f-6dbe51e79fca_3006.html", "HTML")</f>
        <v/>
      </c>
      <c r="L2932">
        <f>HYPERLINK("https://raw.githubusercontent.com/marcosmapl/dataset_imigrantes/main/noticias_filtered/g1/venezuelanos/2015/02_mar/txt/g1_55f3e542-2313-11ed-b24f-6dbe51e79fca_3006.txt", "TXT")</f>
        <v/>
      </c>
    </row>
    <row r="2933">
      <c r="A2933" s="1" t="n">
        <v>2931</v>
      </c>
      <c r="B2933" t="n">
        <v>2015</v>
      </c>
      <c r="C2933" s="2" t="n">
        <v>42078.70833333334</v>
      </c>
      <c r="D2933" t="inlineStr">
        <is>
          <t>G1</t>
        </is>
      </c>
      <c r="E2933" t="inlineStr">
        <is>
          <t>VENEZUELANOS</t>
        </is>
      </c>
      <c r="F2933" t="inlineStr"/>
      <c r="G2933" t="inlineStr">
        <is>
          <t>RANCE PRESSE</t>
        </is>
      </c>
      <c r="H2933" t="inlineStr">
        <is>
          <t>ASSEMBLEIA VENEZUELANA CONCEDE SUPERPODERES A MADURO</t>
        </is>
      </c>
      <c r="I2933" t="inlineStr"/>
      <c r="J2933">
        <f>HYPERLINK("http://g1.globo.com/mundo/noticia/2015/03/assembleia-venezuelana-concede-superpoderes-maduro.html", "URL")</f>
        <v/>
      </c>
      <c r="K2933">
        <f>HYPERLINK("https://raw.githubusercontent.com/marcosmapl/dataset_imigrantes/main/noticias_filtered/g1/venezuelanos/2015/02_mar/html/g1_46450bb8-2312-11ed-b24f-6dbe51e79fca_2958.html", "HTML")</f>
        <v/>
      </c>
      <c r="L2933">
        <f>HYPERLINK("https://raw.githubusercontent.com/marcosmapl/dataset_imigrantes/main/noticias_filtered/g1/venezuelanos/2015/02_mar/txt/g1_46450bb8-2312-11ed-b24f-6dbe51e79fca_2958.txt", "TXT")</f>
        <v/>
      </c>
    </row>
    <row r="2934">
      <c r="A2934" s="1" t="n">
        <v>2932</v>
      </c>
      <c r="B2934" t="n">
        <v>2015</v>
      </c>
      <c r="C2934" s="2" t="n">
        <v>42076.09583333333</v>
      </c>
      <c r="D2934" t="inlineStr">
        <is>
          <t>G1</t>
        </is>
      </c>
      <c r="E2934" t="inlineStr">
        <is>
          <t>HAITIANOS</t>
        </is>
      </c>
      <c r="F2934" t="inlineStr"/>
      <c r="G2934" t="inlineStr">
        <is>
          <t>CE RAMOSCUIABÁ, MT</t>
        </is>
      </c>
      <c r="H2934" t="inlineStr">
        <is>
          <t>IMIGRANTES HAITIANOS NO BRASIL SOFREM COM IDIOMA E FALTA DE QUALIFICAÇÃO</t>
        </is>
      </c>
      <c r="I2934" t="inlineStr"/>
      <c r="J2934">
        <f>HYPERLINK("http://g1.globo.com/jornal-da-globo/noticia/2015/03/imigrantes-haitianos-no-brasil-sofrem-com-idioma-e-falta-de-qualificacao.html", "URL")</f>
        <v/>
      </c>
      <c r="K2934">
        <f>HYPERLINK("https://raw.githubusercontent.com/marcosmapl/dataset_imigrantes/main/noticias_filtered/g1/haitianos/2015/02_mar/html/g1_a506a686-22f2-11ed-b24f-6dbe51e79fca_1808.html", "HTML")</f>
        <v/>
      </c>
      <c r="L2934">
        <f>HYPERLINK("https://raw.githubusercontent.com/marcosmapl/dataset_imigrantes/main/noticias_filtered/g1/haitianos/2015/02_mar/txt/g1_a506a686-22f2-11ed-b24f-6dbe51e79fca_1808.txt", "TXT")</f>
        <v/>
      </c>
    </row>
    <row r="2935">
      <c r="A2935" s="1" t="n">
        <v>2933</v>
      </c>
      <c r="B2935" t="n">
        <v>2015</v>
      </c>
      <c r="C2935" s="2" t="n">
        <v>42074.8875</v>
      </c>
      <c r="D2935" t="inlineStr">
        <is>
          <t>G1</t>
        </is>
      </c>
      <c r="E2935" t="inlineStr">
        <is>
          <t>HAITIANOS</t>
        </is>
      </c>
      <c r="F2935" t="inlineStr"/>
      <c r="G2935" t="inlineStr"/>
      <c r="H2935" t="inlineStr">
        <is>
          <t>CENTENAS DE IMIGRANTES HAITIANOS FOGEM DO ACRE PARA SÃO PAULO</t>
        </is>
      </c>
      <c r="I2935" t="inlineStr"/>
      <c r="J2935">
        <f>HYPERLINK("http://g1.globo.com/jornal-nacional/noticia/2015/03/centenas-de-imigrantes-haitianos-fogem-do-acre-para-sao-paulo.html", "URL")</f>
        <v/>
      </c>
      <c r="K2935">
        <f>HYPERLINK("https://raw.githubusercontent.com/marcosmapl/dataset_imigrantes/main/noticias_filtered/g1/haitianos/2015/02_mar/html/g1_3707f154-22f6-11ed-b24f-6dbe51e79fca_2001.html", "HTML")</f>
        <v/>
      </c>
      <c r="L2935">
        <f>HYPERLINK("https://raw.githubusercontent.com/marcosmapl/dataset_imigrantes/main/noticias_filtered/g1/haitianos/2015/02_mar/txt/g1_3707f154-22f6-11ed-b24f-6dbe51e79fca_2001.txt", "TXT")</f>
        <v/>
      </c>
    </row>
    <row r="2936">
      <c r="A2936" s="1" t="n">
        <v>2934</v>
      </c>
      <c r="B2936" t="n">
        <v>2015</v>
      </c>
      <c r="C2936" s="2" t="n">
        <v>42074.79236111111</v>
      </c>
      <c r="D2936" t="inlineStr">
        <is>
          <t>G1</t>
        </is>
      </c>
      <c r="E2936" t="inlineStr">
        <is>
          <t>HAITIANOS</t>
        </is>
      </c>
      <c r="F2936" t="inlineStr"/>
      <c r="G2936" t="inlineStr">
        <is>
          <t>1 AC</t>
        </is>
      </c>
      <c r="H2936" t="inlineStr">
        <is>
          <t>HAITIANOS SÃO LEVADOS EM ÔNIBUS PARA VER DILMA NA 'CIDADE DO POVO'</t>
        </is>
      </c>
      <c r="I2936" t="inlineStr"/>
      <c r="J2936">
        <f>HYPERLINK("http://g1.globo.com/ac/acre/noticia/2015/03/haitianos-sao-levados-em-onibus-para-ver-dilma-na-cidade-do-povo.html", "URL")</f>
        <v/>
      </c>
      <c r="K2936">
        <f>HYPERLINK("https://raw.githubusercontent.com/marcosmapl/dataset_imigrantes/main/noticias_filtered/g1/haitianos/2015/02_mar/html/g1_8fa5b2d4-22fa-11ed-b24f-6dbe51e79fca_2228.html", "HTML")</f>
        <v/>
      </c>
      <c r="L2936">
        <f>HYPERLINK("https://raw.githubusercontent.com/marcosmapl/dataset_imigrantes/main/noticias_filtered/g1/haitianos/2015/02_mar/txt/g1_8fa5b2d4-22fa-11ed-b24f-6dbe51e79fca_2228.txt", "TXT")</f>
        <v/>
      </c>
    </row>
    <row r="2937">
      <c r="A2937" s="1" t="n">
        <v>2935</v>
      </c>
      <c r="B2937" t="n">
        <v>2015</v>
      </c>
      <c r="C2937" s="2" t="n">
        <v>42074.55833333333</v>
      </c>
      <c r="D2937" t="inlineStr">
        <is>
          <t>G1</t>
        </is>
      </c>
      <c r="E2937" t="inlineStr">
        <is>
          <t>HAITIANOS</t>
        </is>
      </c>
      <c r="F2937" t="inlineStr"/>
      <c r="G2937" t="inlineStr">
        <is>
          <t>CIA MACEDODO G1 SÃO PAULO</t>
        </is>
      </c>
      <c r="H2937" t="inlineStr">
        <is>
          <t>MISSÃO QUE ACOLHE HAITIANOS RECEBE MULTA POR GASTO DE ÁGUA</t>
        </is>
      </c>
      <c r="I2937" t="inlineStr"/>
      <c r="J2937">
        <f>HYPERLINK("http://g1.globo.com/sao-paulo/noticia/2015/03/missao-que-acolhe-haitianos-recebe-multa-por-gasto-de-agua.html", "URL")</f>
        <v/>
      </c>
      <c r="K2937">
        <f>HYPERLINK("https://raw.githubusercontent.com/marcosmapl/dataset_imigrantes/main/noticias_filtered/g1/haitianos/2015/02_mar/html/g1_c68a2a82-22f5-11ed-b24f-6dbe51e79fca_1971.html", "HTML")</f>
        <v/>
      </c>
      <c r="L2937">
        <f>HYPERLINK("https://raw.githubusercontent.com/marcosmapl/dataset_imigrantes/main/noticias_filtered/g1/haitianos/2015/02_mar/txt/g1_c68a2a82-22f5-11ed-b24f-6dbe51e79fca_1971.txt", "TXT")</f>
        <v/>
      </c>
    </row>
    <row r="2938">
      <c r="A2938" s="1" t="n">
        <v>2936</v>
      </c>
      <c r="B2938" t="n">
        <v>2015</v>
      </c>
      <c r="C2938" s="2" t="n">
        <v>42072.34930555556</v>
      </c>
      <c r="D2938" t="inlineStr">
        <is>
          <t>G1</t>
        </is>
      </c>
      <c r="E2938" t="inlineStr">
        <is>
          <t>VENEZUELANOS</t>
        </is>
      </c>
      <c r="F2938" t="inlineStr"/>
      <c r="G2938" t="inlineStr">
        <is>
          <t>FE</t>
        </is>
      </c>
      <c r="H2938" t="inlineStr">
        <is>
          <t>MADURO QUER PLANO PARA VENEZUELANAS DIRIGIREM PRODUÇÃO DE FRALDAS</t>
        </is>
      </c>
      <c r="I2938" t="inlineStr"/>
      <c r="J2938">
        <f>HYPERLINK("http://g1.globo.com/economia/noticia/2015/03/maduro-quer-plano-para-venezuelanas-dirigirem-producao-de-fraldas.html", "URL")</f>
        <v/>
      </c>
      <c r="K2938">
        <f>HYPERLINK("https://raw.githubusercontent.com/marcosmapl/dataset_imigrantes/main/noticias_filtered/g1/venezuelanos/2015/02_mar/html/g1_ff82f38e-2311-11ed-b24f-6dbe51e79fca_2944.html", "HTML")</f>
        <v/>
      </c>
      <c r="L2938">
        <f>HYPERLINK("https://raw.githubusercontent.com/marcosmapl/dataset_imigrantes/main/noticias_filtered/g1/venezuelanos/2015/02_mar/txt/g1_ff82f38e-2311-11ed-b24f-6dbe51e79fca_2944.txt", "TXT")</f>
        <v/>
      </c>
    </row>
    <row r="2939">
      <c r="A2939" s="1" t="n">
        <v>2937</v>
      </c>
      <c r="B2939" t="n">
        <v>2015</v>
      </c>
      <c r="C2939" s="2" t="n">
        <v>42067.61319444444</v>
      </c>
      <c r="D2939" t="inlineStr">
        <is>
          <t>G1</t>
        </is>
      </c>
      <c r="E2939" t="inlineStr">
        <is>
          <t>HAITIANOS</t>
        </is>
      </c>
      <c r="F2939" t="inlineStr"/>
      <c r="G2939" t="inlineStr"/>
      <c r="H2939" t="inlineStr">
        <is>
          <t>HAITIANA ESTÁ MORANDO EM AEROPORTO DE PORTO ALEGRE HÁ QUATRO DIAS</t>
        </is>
      </c>
      <c r="I2939" t="inlineStr"/>
      <c r="J2939">
        <f>HYPERLINK("http://g1.globo.com/jornal-hoje/noticia/2015/03/haitiana-esta-morando-em-aeroporto-de-porto-alegre-ha-quatro-dias.html", "URL")</f>
        <v/>
      </c>
      <c r="K2939">
        <f>HYPERLINK("https://raw.githubusercontent.com/marcosmapl/dataset_imigrantes/main/noticias_filtered/g1/haitianos/2015/02_mar/html/g1_b5b9ddd8-231d-11ed-b24f-6dbe51e79fca_3517.html", "HTML")</f>
        <v/>
      </c>
      <c r="L2939">
        <f>HYPERLINK("https://raw.githubusercontent.com/marcosmapl/dataset_imigrantes/main/noticias_filtered/g1/haitianos/2015/02_mar/txt/g1_b5b9ddd8-231d-11ed-b24f-6dbe51e79fca_3517.txt", "TXT")</f>
        <v/>
      </c>
    </row>
    <row r="2940">
      <c r="A2940" s="1" t="n">
        <v>2938</v>
      </c>
      <c r="B2940" t="n">
        <v>2015</v>
      </c>
      <c r="C2940" s="2" t="n">
        <v>42066.79236111111</v>
      </c>
      <c r="D2940" t="inlineStr">
        <is>
          <t>G1</t>
        </is>
      </c>
      <c r="E2940" t="inlineStr">
        <is>
          <t>HAITIANOS</t>
        </is>
      </c>
      <c r="F2940" t="inlineStr"/>
      <c r="G2940" t="inlineStr">
        <is>
          <t>PE TRUDADO G1 RS</t>
        </is>
      </c>
      <c r="H2940" t="inlineStr">
        <is>
          <t>'SÓ QUERO IR EMBORA', DIZ HAITIANA QUE HÁ 3 DIAS MORA EM AEROPORTO NO RS</t>
        </is>
      </c>
      <c r="I2940" t="inlineStr"/>
      <c r="J2940">
        <f>HYPERLINK("http://g1.globo.com/rs/rio-grande-do-sul/noticia/2015/03/so-quero-ir-embora-diz-haitiana-que-ha-3-dias-mora-em-aeroporto-no-rs.html", "URL")</f>
        <v/>
      </c>
      <c r="K2940">
        <f>HYPERLINK("https://raw.githubusercontent.com/marcosmapl/dataset_imigrantes/main/noticias_filtered/g1/haitianos/2015/02_mar/html/g1_a16ec54c-2317-11ed-b24f-6dbe51e79fca_3220.html", "HTML")</f>
        <v/>
      </c>
      <c r="L2940">
        <f>HYPERLINK("https://raw.githubusercontent.com/marcosmapl/dataset_imigrantes/main/noticias_filtered/g1/haitianos/2015/02_mar/txt/g1_a16ec54c-2317-11ed-b24f-6dbe51e79fca_3220.txt", "TXT")</f>
        <v/>
      </c>
    </row>
    <row r="2941">
      <c r="A2941" s="1" t="n">
        <v>2939</v>
      </c>
      <c r="B2941" t="n">
        <v>2015</v>
      </c>
      <c r="C2941" s="2" t="n">
        <v>42061.77291666667</v>
      </c>
      <c r="D2941" t="inlineStr">
        <is>
          <t>G1</t>
        </is>
      </c>
      <c r="E2941" t="inlineStr">
        <is>
          <t>HAITIANOS</t>
        </is>
      </c>
      <c r="F2941" t="inlineStr"/>
      <c r="G2941" t="inlineStr">
        <is>
          <t xml:space="preserve"> RODRIGUESDO G1 AC</t>
        </is>
      </c>
      <c r="H2941" t="inlineStr">
        <is>
          <t>ACRE ESPERA RESPOSTA DO GOVERNO FEDERAL SOBRE ENTRADA DE HAITIANOS</t>
        </is>
      </c>
      <c r="I2941" t="inlineStr"/>
      <c r="J2941">
        <f>HYPERLINK("http://g1.globo.com/ac/acre/noticia/2015/02/acre-espera-resposta-do-governo-federal-sobre-entrada-de-haitianos.html", "URL")</f>
        <v/>
      </c>
      <c r="K2941">
        <f>HYPERLINK("https://raw.githubusercontent.com/marcosmapl/dataset_imigrantes/main/noticias_filtered/g1/haitianos/2015/01_fev/html/g1_d043e5ea-22fa-11ed-b24f-6dbe51e79fca_2243.html", "HTML")</f>
        <v/>
      </c>
      <c r="L2941">
        <f>HYPERLINK("https://raw.githubusercontent.com/marcosmapl/dataset_imigrantes/main/noticias_filtered/g1/haitianos/2015/01_fev/txt/g1_d043e5ea-22fa-11ed-b24f-6dbe51e79fca_2243.txt", "TXT")</f>
        <v/>
      </c>
    </row>
    <row r="2942">
      <c r="A2942" s="1" t="n">
        <v>2940</v>
      </c>
      <c r="B2942" t="n">
        <v>2015</v>
      </c>
      <c r="C2942" s="2" t="n">
        <v>42060.72708333333</v>
      </c>
      <c r="D2942" t="inlineStr">
        <is>
          <t>G1</t>
        </is>
      </c>
      <c r="E2942" t="inlineStr">
        <is>
          <t>HAITIANOS</t>
        </is>
      </c>
      <c r="F2942" t="inlineStr"/>
      <c r="G2942" t="inlineStr">
        <is>
          <t xml:space="preserve"> RODRIGUESDO G1 AC</t>
        </is>
      </c>
      <c r="H2942" t="inlineStr">
        <is>
          <t>ACRE PEDE AJUDA FEDERAL PARA EVITAR ENTRADA DE HAITIANOS DURANTE A CHEIA</t>
        </is>
      </c>
      <c r="I2942" t="inlineStr"/>
      <c r="J2942">
        <f>HYPERLINK("http://g1.globo.com/ac/acre/noticia/2015/02/acre-pede-ajuda-federal-para-evitar-entrada-de-haitianos-durante-cheia.html", "URL")</f>
        <v/>
      </c>
      <c r="K2942">
        <f>HYPERLINK("https://raw.githubusercontent.com/marcosmapl/dataset_imigrantes/main/noticias_filtered/g1/haitianos/2015/01_fev/html/g1_ec3b60d8-22f1-11ed-b24f-6dbe51e79fca_1771.html", "HTML")</f>
        <v/>
      </c>
      <c r="L2942">
        <f>HYPERLINK("https://raw.githubusercontent.com/marcosmapl/dataset_imigrantes/main/noticias_filtered/g1/haitianos/2015/01_fev/txt/g1_ec3b60d8-22f1-11ed-b24f-6dbe51e79fca_1771.txt", "TXT")</f>
        <v/>
      </c>
    </row>
    <row r="2943">
      <c r="A2943" s="1" t="n">
        <v>2941</v>
      </c>
      <c r="B2943" t="n">
        <v>2015</v>
      </c>
      <c r="C2943" s="2" t="n">
        <v>42054.93333333333</v>
      </c>
      <c r="D2943" t="inlineStr">
        <is>
          <t>G1</t>
        </is>
      </c>
      <c r="E2943" t="inlineStr">
        <is>
          <t>VENEZUELANOS</t>
        </is>
      </c>
      <c r="F2943" t="inlineStr"/>
      <c r="G2943" t="inlineStr">
        <is>
          <t>EUTERS</t>
        </is>
      </c>
      <c r="H2943" t="inlineStr">
        <is>
          <t>POLÍCIA VENEZUELANA PRENDE PREFEITO DE CARACAS</t>
        </is>
      </c>
      <c r="I2943" t="inlineStr"/>
      <c r="J2943">
        <f>HYPERLINK("http://g1.globo.com/mundo/noticia/2015/02/policia-venezuelana-prende-prefeito-de-caracas.html", "URL")</f>
        <v/>
      </c>
      <c r="K2943">
        <f>HYPERLINK("https://raw.githubusercontent.com/marcosmapl/dataset_imigrantes/main/noticias_filtered/g1/venezuelanos/2015/01_fev/html/g1_886d7798-2315-11ed-b24f-6dbe51e79fca_3090.html", "HTML")</f>
        <v/>
      </c>
      <c r="L2943">
        <f>HYPERLINK("https://raw.githubusercontent.com/marcosmapl/dataset_imigrantes/main/noticias_filtered/g1/venezuelanos/2015/01_fev/txt/g1_886d7798-2315-11ed-b24f-6dbe51e79fca_3090.txt", "TXT")</f>
        <v/>
      </c>
    </row>
    <row r="2944">
      <c r="A2944" s="1" t="n">
        <v>2942</v>
      </c>
      <c r="B2944" t="n">
        <v>2015</v>
      </c>
      <c r="C2944" s="2" t="n">
        <v>42054.92708333334</v>
      </c>
      <c r="D2944" t="inlineStr">
        <is>
          <t>G1</t>
        </is>
      </c>
      <c r="E2944" t="inlineStr">
        <is>
          <t>VENEZUELANOS</t>
        </is>
      </c>
      <c r="F2944" t="inlineStr"/>
      <c r="G2944" t="inlineStr"/>
      <c r="H2944" t="inlineStr">
        <is>
          <t>POLÍCIA VENEZUELANA PRENDE PREFEITO DA REGIÃO METROPOLITANA DE CARACAS</t>
        </is>
      </c>
      <c r="I2944" t="inlineStr"/>
      <c r="J2944">
        <f>HYPERLINK("http://g1.globo.com/jornal-nacional/noticia/2015/02/policia-venezuelana-prende-prefeito-da-regiao-metropolitana-de-caracas.html", "URL")</f>
        <v/>
      </c>
      <c r="K2944">
        <f>HYPERLINK("https://raw.githubusercontent.com/marcosmapl/dataset_imigrantes/main/noticias_filtered/g1/venezuelanos/2015/01_fev/html/g1_4d97bb84-231e-11ed-b24f-6dbe51e79fca_3552.html", "HTML")</f>
        <v/>
      </c>
      <c r="L2944">
        <f>HYPERLINK("https://raw.githubusercontent.com/marcosmapl/dataset_imigrantes/main/noticias_filtered/g1/venezuelanos/2015/01_fev/txt/g1_4d97bb84-231e-11ed-b24f-6dbe51e79fca_3552.txt", "TXT")</f>
        <v/>
      </c>
    </row>
    <row r="2945">
      <c r="A2945" s="1" t="n">
        <v>2943</v>
      </c>
      <c r="B2945" t="n">
        <v>2015</v>
      </c>
      <c r="C2945" s="2" t="n">
        <v>42048.42916666667</v>
      </c>
      <c r="D2945" t="inlineStr">
        <is>
          <t>G1</t>
        </is>
      </c>
      <c r="E2945" t="inlineStr">
        <is>
          <t>HAITIANOS</t>
        </is>
      </c>
      <c r="F2945" t="inlineStr"/>
      <c r="G2945" t="inlineStr">
        <is>
          <t>1 PR</t>
        </is>
      </c>
      <c r="H2945" t="inlineStr">
        <is>
          <t>IDOSO DE 85 ANOS É PRESO SUSPEITO DE ABUSAR SEXUALMENTE DE CRIANÇA NO PR</t>
        </is>
      </c>
      <c r="I2945" t="inlineStr"/>
      <c r="J2945">
        <f>HYPERLINK("http://g1.globo.com/pr/campos-gerais-sul/noticia/2015/02/idoso-de-85-anos-e-preso-suspeito-de-abusar-sexualmente-de-crianca-no-pr.html", "URL")</f>
        <v/>
      </c>
      <c r="K2945">
        <f>HYPERLINK("https://raw.githubusercontent.com/marcosmapl/dataset_imigrantes/main/noticias_filtered/g1/haitianos/2015/01_fev/html/g1_0c1a6e68-2323-11ed-b24f-6dbe51e79fca_3784.html", "HTML")</f>
        <v/>
      </c>
      <c r="L2945">
        <f>HYPERLINK("https://raw.githubusercontent.com/marcosmapl/dataset_imigrantes/main/noticias_filtered/g1/haitianos/2015/01_fev/txt/g1_0c1a6e68-2323-11ed-b24f-6dbe51e79fca_3784.txt", "TXT")</f>
        <v/>
      </c>
    </row>
    <row r="2946">
      <c r="A2946" s="1" t="n">
        <v>2944</v>
      </c>
      <c r="B2946" t="n">
        <v>2015</v>
      </c>
      <c r="C2946" s="2" t="n">
        <v>42039.73472222222</v>
      </c>
      <c r="D2946" t="inlineStr">
        <is>
          <t>G1</t>
        </is>
      </c>
      <c r="E2946" t="inlineStr">
        <is>
          <t>HAITIANOS</t>
        </is>
      </c>
      <c r="F2946" t="inlineStr"/>
      <c r="G2946" t="inlineStr">
        <is>
          <t>ICA ALVESDO G1 AP</t>
        </is>
      </c>
      <c r="H2946" t="inlineStr">
        <is>
          <t>SUSPEITOS SÃO DETIDOS POR TRÁFICO INTERNACIONAL DE DROGAS, NO AMAPÁ</t>
        </is>
      </c>
      <c r="I2946" t="inlineStr"/>
      <c r="J2946">
        <f>HYPERLINK("http://g1.globo.com/ap/amapa/noticia/2015/02/suspeitos-sao-detidos-por-trafico-internacional-de-drogas-no-amapa.html", "URL")</f>
        <v/>
      </c>
      <c r="K2946">
        <f>HYPERLINK("https://raw.githubusercontent.com/marcosmapl/dataset_imigrantes/main/noticias_filtered/g1/haitianos/2015/01_fev/html/g1_4c6035e6-230c-11ed-b24f-6dbe51e79fca_2616.html", "HTML")</f>
        <v/>
      </c>
      <c r="L2946">
        <f>HYPERLINK("https://raw.githubusercontent.com/marcosmapl/dataset_imigrantes/main/noticias_filtered/g1/haitianos/2015/01_fev/txt/g1_4c6035e6-230c-11ed-b24f-6dbe51e79fca_2616.txt", "TXT")</f>
        <v/>
      </c>
    </row>
    <row r="2947">
      <c r="A2947" s="1" t="n">
        <v>2945</v>
      </c>
      <c r="B2947" t="n">
        <v>2015</v>
      </c>
      <c r="C2947" s="2" t="n">
        <v>42026.25</v>
      </c>
      <c r="D2947" t="inlineStr">
        <is>
          <t>G1</t>
        </is>
      </c>
      <c r="E2947" t="inlineStr">
        <is>
          <t>VENEZUELANOS</t>
        </is>
      </c>
      <c r="F2947" t="inlineStr"/>
      <c r="G2947" t="inlineStr">
        <is>
          <t>A RESENDEDO G1 GO</t>
        </is>
      </c>
      <c r="H2947" t="inlineStr">
        <is>
          <t>VENEZUELANA QUER TRATAR FILHO COM 'SÍNDROME DO LOBISOMEM' EM GOIÁS</t>
        </is>
      </c>
      <c r="I2947" t="inlineStr"/>
      <c r="J2947">
        <f>HYPERLINK("http://g1.globo.com/goias/noticia/2015/01/venezuelana-quer-tratar-filho-com-sindrome-do-lobisomem-em-goias.html", "URL")</f>
        <v/>
      </c>
      <c r="K2947">
        <f>HYPERLINK("https://raw.githubusercontent.com/marcosmapl/dataset_imigrantes/main/noticias_filtered/g1/venezuelanos/2015/00_jan/html/g1_1b57ccf2-2307-11ed-b24f-6dbe51e79fca_2298.html", "HTML")</f>
        <v/>
      </c>
      <c r="L2947">
        <f>HYPERLINK("https://raw.githubusercontent.com/marcosmapl/dataset_imigrantes/main/noticias_filtered/g1/venezuelanos/2015/00_jan/txt/g1_1b57ccf2-2307-11ed-b24f-6dbe51e79fca_2298.txt", "TXT")</f>
        <v/>
      </c>
    </row>
    <row r="2948">
      <c r="A2948" s="1" t="n">
        <v>2946</v>
      </c>
      <c r="B2948" t="n">
        <v>2015</v>
      </c>
      <c r="C2948" s="2" t="n">
        <v>42022.65208333333</v>
      </c>
      <c r="D2948" t="inlineStr">
        <is>
          <t>G1</t>
        </is>
      </c>
      <c r="E2948" t="inlineStr">
        <is>
          <t>HAITIANOS</t>
        </is>
      </c>
      <c r="F2948" t="inlineStr"/>
      <c r="G2948" t="inlineStr">
        <is>
          <t>1 RIO PRETO E ARAÇATUBA</t>
        </is>
      </c>
      <c r="H2948" t="inlineStr">
        <is>
          <t>VOLUNTÁRIOS DE RIO PRETO, SP, ENSINAM LÍNGUA PORTUGUESA PARA HAITIANOS</t>
        </is>
      </c>
      <c r="I2948" t="inlineStr"/>
      <c r="J2948">
        <f>HYPERLINK("http://g1.globo.com/sao-paulo/sao-jose-do-rio-preto-aracatuba/noticia/2015/01/voluntarios-de-rio-preto-sp-ensinam-lingua-portuguesa-para-haitianos.html", "URL")</f>
        <v/>
      </c>
      <c r="K2948">
        <f>HYPERLINK("https://raw.githubusercontent.com/marcosmapl/dataset_imigrantes/main/noticias_filtered/g1/haitianos/2015/00_jan/html/g1_95bfc2cc-22f0-11ed-b24f-6dbe51e79fca_1711.html", "HTML")</f>
        <v/>
      </c>
      <c r="L2948">
        <f>HYPERLINK("https://raw.githubusercontent.com/marcosmapl/dataset_imigrantes/main/noticias_filtered/g1/haitianos/2015/00_jan/txt/g1_95bfc2cc-22f0-11ed-b24f-6dbe51e79fca_1711.txt", "TXT")</f>
        <v/>
      </c>
    </row>
    <row r="2949">
      <c r="A2949" s="1" t="n">
        <v>2947</v>
      </c>
      <c r="B2949" t="n">
        <v>2015</v>
      </c>
      <c r="C2949" s="2" t="n">
        <v>42018.11875</v>
      </c>
      <c r="D2949" t="inlineStr">
        <is>
          <t>G1</t>
        </is>
      </c>
      <c r="E2949" t="inlineStr">
        <is>
          <t>HAITIANOS</t>
        </is>
      </c>
      <c r="F2949" t="inlineStr"/>
      <c r="G2949" t="inlineStr">
        <is>
          <t>FE</t>
        </is>
      </c>
      <c r="H2949" t="inlineStr">
        <is>
          <t>SEM PARLAMENTO, PRESIDENTE DO HAITI DIZ QUE NÃO VAI GOVERNAR POR DECRETO</t>
        </is>
      </c>
      <c r="I2949" t="inlineStr"/>
      <c r="J2949">
        <f>HYPERLINK("http://g1.globo.com/mundo/noticia/2015/01/sem-parlamento-presidente-do-haiti-diz-que-nao-vai-governar-por-decreto.html", "URL")</f>
        <v/>
      </c>
      <c r="K2949">
        <f>HYPERLINK("https://raw.githubusercontent.com/marcosmapl/dataset_imigrantes/main/noticias_filtered/g1/haitianos/2015/00_jan/html/g1_cfa5fb08-230b-11ed-b24f-6dbe51e79fca_2588.html", "HTML")</f>
        <v/>
      </c>
      <c r="L2949">
        <f>HYPERLINK("https://raw.githubusercontent.com/marcosmapl/dataset_imigrantes/main/noticias_filtered/g1/haitianos/2015/00_jan/txt/g1_cfa5fb08-230b-11ed-b24f-6dbe51e79fca_2588.txt", "TXT")</f>
        <v/>
      </c>
    </row>
    <row r="2950">
      <c r="A2950" s="1" t="n">
        <v>2948</v>
      </c>
      <c r="B2950" t="n">
        <v>2015</v>
      </c>
      <c r="C2950" s="2" t="n">
        <v>42017.83680555555</v>
      </c>
      <c r="D2950" t="inlineStr">
        <is>
          <t>G1</t>
        </is>
      </c>
      <c r="E2950" t="inlineStr">
        <is>
          <t>HAITIANOS</t>
        </is>
      </c>
      <c r="F2950" t="inlineStr"/>
      <c r="G2950" t="inlineStr">
        <is>
          <t>1 SC</t>
        </is>
      </c>
      <c r="H2950" t="inlineStr">
        <is>
          <t>UNIVERSIDADE DE SC OFERECE VESTIBULAR COM COTAS PARA HAITIANOS</t>
        </is>
      </c>
      <c r="I2950" t="inlineStr"/>
      <c r="J2950">
        <f>HYPERLINK("http://g1.globo.com/sc/santa-catarina/noticia/2015/01/universidade-de-sc-oferece-vestibular-com-cotas-para-haitianos.html", "URL")</f>
        <v/>
      </c>
      <c r="K2950">
        <f>HYPERLINK("https://raw.githubusercontent.com/marcosmapl/dataset_imigrantes/main/noticias_filtered/g1/haitianos/2015/00_jan/html/g1_fce1385a-22f5-11ed-b24f-6dbe51e79fca_1985.html", "HTML")</f>
        <v/>
      </c>
      <c r="L2950">
        <f>HYPERLINK("https://raw.githubusercontent.com/marcosmapl/dataset_imigrantes/main/noticias_filtered/g1/haitianos/2015/00_jan/txt/g1_fce1385a-22f5-11ed-b24f-6dbe51e79fca_1985.txt", "TXT")</f>
        <v/>
      </c>
    </row>
    <row r="2951">
      <c r="A2951" s="1" t="n">
        <v>2949</v>
      </c>
      <c r="B2951" t="n">
        <v>2015</v>
      </c>
      <c r="C2951" s="2" t="n">
        <v>42011.43055555555</v>
      </c>
      <c r="D2951" t="inlineStr">
        <is>
          <t>G1</t>
        </is>
      </c>
      <c r="E2951" t="inlineStr">
        <is>
          <t>HAITIANOS</t>
        </is>
      </c>
      <c r="F2951" t="inlineStr"/>
      <c r="G2951" t="inlineStr">
        <is>
          <t>1 SC</t>
        </is>
      </c>
      <c r="H2951" t="inlineStr">
        <is>
          <t>HAITIANO MATA COMPANHEIRA COM GOLPE DE FACA EM CHAPECÓ</t>
        </is>
      </c>
      <c r="I2951" t="inlineStr"/>
      <c r="J2951">
        <f>HYPERLINK("http://g1.globo.com/sc/santa-catarina/noticia/2015/01/haitiano-mata-companheira-com-golpe-de-faca-em-chapeco.html", "URL")</f>
        <v/>
      </c>
      <c r="K2951">
        <f>HYPERLINK("https://raw.githubusercontent.com/marcosmapl/dataset_imigrantes/main/noticias_filtered/g1/haitianos/2015/00_jan/html/g1_3890ae42-232a-11ed-b24f-6dbe51e79fca_4164.html", "HTML")</f>
        <v/>
      </c>
      <c r="L2951">
        <f>HYPERLINK("https://raw.githubusercontent.com/marcosmapl/dataset_imigrantes/main/noticias_filtered/g1/haitianos/2015/00_jan/txt/g1_3890ae42-232a-11ed-b24f-6dbe51e79fca_4164.txt", "TXT")</f>
        <v/>
      </c>
    </row>
    <row r="2952">
      <c r="A2952" s="1" t="n">
        <v>2950</v>
      </c>
      <c r="B2952" t="n">
        <v>2015</v>
      </c>
      <c r="C2952" s="2" t="n">
        <v>42009.67013888889</v>
      </c>
      <c r="D2952" t="inlineStr">
        <is>
          <t>G1</t>
        </is>
      </c>
      <c r="E2952" t="inlineStr">
        <is>
          <t>HAITIANOS</t>
        </is>
      </c>
      <c r="F2952" t="inlineStr"/>
      <c r="G2952" t="inlineStr">
        <is>
          <t>1, EM SÃO PAULO</t>
        </is>
      </c>
      <c r="H2952" t="inlineStr">
        <is>
          <t>SOLDADO DO EXÉRCITO BRASILEIRO É BALEADO NA PERNA NO HAITI</t>
        </is>
      </c>
      <c r="I2952" t="inlineStr"/>
      <c r="J2952">
        <f>HYPERLINK("http://g1.globo.com/mundo/noticia/2015/01/soldado-do-exercito-brasileiro-e-baleado-na-perna-no-haiti.html", "URL")</f>
        <v/>
      </c>
      <c r="K2952">
        <f>HYPERLINK("https://raw.githubusercontent.com/marcosmapl/dataset_imigrantes/main/noticias_filtered/g1/haitianos/2015/00_jan/html/g1_ddfd9b7a-2324-11ed-b24f-6dbe51e79fca_3886.html", "HTML")</f>
        <v/>
      </c>
      <c r="L2952">
        <f>HYPERLINK("https://raw.githubusercontent.com/marcosmapl/dataset_imigrantes/main/noticias_filtered/g1/haitianos/2015/00_jan/txt/g1_ddfd9b7a-2324-11ed-b24f-6dbe51e79fca_3886.txt", "TXT")</f>
        <v/>
      </c>
    </row>
    <row r="2953">
      <c r="A2953" s="1" t="n">
        <v>2951</v>
      </c>
      <c r="B2953" t="n">
        <v>2015</v>
      </c>
      <c r="C2953" s="2" t="n">
        <v>42009.66388888889</v>
      </c>
      <c r="D2953" t="inlineStr">
        <is>
          <t>G1</t>
        </is>
      </c>
      <c r="E2953" t="inlineStr">
        <is>
          <t>HAITIANOS</t>
        </is>
      </c>
      <c r="F2953" t="inlineStr"/>
      <c r="G2953" t="inlineStr">
        <is>
          <t>1 RS</t>
        </is>
      </c>
      <c r="H2953" t="inlineStr">
        <is>
          <t>PASSA BEM SOLDADO BRASILEIRO BALEADO EM PORTO PRÍNCIPE, NO HAITI</t>
        </is>
      </c>
      <c r="I2953" t="inlineStr"/>
      <c r="J2953">
        <f>HYPERLINK("http://g1.globo.com/rs/rio-grande-do-sul/noticia/2015/01/passa-bem-soldado-brasileiro-baleado-em-porto-principe-no-haiti.html", "URL")</f>
        <v/>
      </c>
      <c r="K2953">
        <f>HYPERLINK("https://raw.githubusercontent.com/marcosmapl/dataset_imigrantes/main/noticias_filtered/g1/haitianos/2015/00_jan/html/g1_dae7f8ee-232a-11ed-b24f-6dbe51e79fca_4207.html", "HTML")</f>
        <v/>
      </c>
      <c r="L2953">
        <f>HYPERLINK("https://raw.githubusercontent.com/marcosmapl/dataset_imigrantes/main/noticias_filtered/g1/haitianos/2015/00_jan/txt/g1_dae7f8ee-232a-11ed-b24f-6dbe51e79fca_4207.txt", "TXT")</f>
        <v/>
      </c>
    </row>
    <row r="2954">
      <c r="A2954" s="1" t="n">
        <v>2952</v>
      </c>
      <c r="B2954" t="n">
        <v>2014</v>
      </c>
      <c r="C2954" s="2" t="n">
        <v>42002.22986111111</v>
      </c>
      <c r="D2954" t="inlineStr">
        <is>
          <t>G1</t>
        </is>
      </c>
      <c r="E2954" t="inlineStr">
        <is>
          <t>HAITIANOS</t>
        </is>
      </c>
      <c r="F2954" t="inlineStr"/>
      <c r="G2954" t="inlineStr">
        <is>
          <t>RA RIBEIRORIO BRANCO, ACRE</t>
        </is>
      </c>
      <c r="H2954" t="inlineStr">
        <is>
          <t>ABRIGO DE HAITIANOS ESTÁ SUPERLOTADO E SEM CONDIÇÕES DE HIGIENE NO AC</t>
        </is>
      </c>
      <c r="I2954" t="inlineStr"/>
      <c r="J2954">
        <f>HYPERLINK("http://g1.globo.com/hora1/noticia/2014/12/abrigo-de-haitianos-esta-superlotado-e-sem-condicoes-de-higiene-no-ac.html", "URL")</f>
        <v/>
      </c>
      <c r="K2954">
        <f>HYPERLINK("https://raw.githubusercontent.com/marcosmapl/dataset_imigrantes/main/noticias_filtered/g1/haitianos/2014/11_dez/html/g1_7f667fea-22f8-11ed-b24f-6dbe51e79fca_2139.html", "HTML")</f>
        <v/>
      </c>
      <c r="L2954">
        <f>HYPERLINK("https://raw.githubusercontent.com/marcosmapl/dataset_imigrantes/main/noticias_filtered/g1/haitianos/2014/11_dez/txt/g1_7f667fea-22f8-11ed-b24f-6dbe51e79fca_2139.txt", "TXT")</f>
        <v/>
      </c>
    </row>
    <row r="2955">
      <c r="A2955" s="1" t="n">
        <v>2953</v>
      </c>
      <c r="B2955" t="n">
        <v>2014</v>
      </c>
      <c r="C2955" s="2" t="n">
        <v>41998.41666666666</v>
      </c>
      <c r="D2955" t="inlineStr">
        <is>
          <t>G1</t>
        </is>
      </c>
      <c r="E2955" t="inlineStr">
        <is>
          <t>HAITIANOS</t>
        </is>
      </c>
      <c r="F2955" t="inlineStr"/>
      <c r="G2955" t="inlineStr">
        <is>
          <t>E NASCIMENTODO G1 AC</t>
        </is>
      </c>
      <c r="H2955" t="inlineStr">
        <is>
          <t>HAITIANAS PASSAM 1º NATAL LONGE DA FAMÍLIA E COMPARTILHAM SAUDADE</t>
        </is>
      </c>
      <c r="I2955" t="inlineStr"/>
      <c r="J2955">
        <f>HYPERLINK("http://g1.globo.com/ac/acre/noticia/2014/12/haitianas-passam-1-natal-longe-da-familia-e-compartilham-saudade.html", "URL")</f>
        <v/>
      </c>
      <c r="K2955">
        <f>HYPERLINK("https://raw.githubusercontent.com/marcosmapl/dataset_imigrantes/main/noticias_filtered/g1/haitianos/2014/11_dez/html/g1_468710ec-2328-11ed-b24f-6dbe51e79fca_4070.html", "HTML")</f>
        <v/>
      </c>
      <c r="L2955">
        <f>HYPERLINK("https://raw.githubusercontent.com/marcosmapl/dataset_imigrantes/main/noticias_filtered/g1/haitianos/2014/11_dez/txt/g1_468710ec-2328-11ed-b24f-6dbe51e79fca_4070.txt", "TXT")</f>
        <v/>
      </c>
    </row>
    <row r="2956">
      <c r="A2956" s="1" t="n">
        <v>2954</v>
      </c>
      <c r="B2956" t="n">
        <v>2014</v>
      </c>
      <c r="C2956" s="2" t="n">
        <v>41993.32638888889</v>
      </c>
      <c r="D2956" t="inlineStr">
        <is>
          <t>G1</t>
        </is>
      </c>
      <c r="E2956" t="inlineStr">
        <is>
          <t>HAITIANOS</t>
        </is>
      </c>
      <c r="F2956" t="inlineStr"/>
      <c r="G2956" t="inlineStr">
        <is>
          <t>1 PR</t>
        </is>
      </c>
      <c r="H2956" t="inlineStr">
        <is>
          <t>UNILA OFERECE VAGAS DE CURSOS DE GRADUAÇÃO PARA IMIGRANTES HAITIANOS</t>
        </is>
      </c>
      <c r="I2956" t="inlineStr"/>
      <c r="J2956">
        <f>HYPERLINK("http://g1.globo.com/pr/parana/educacao/vestiba/2014/noticia/2014/12/unila-oferece-vagas-de-cursos-de-graduacao-para-imigrantes-haitianos.html", "URL")</f>
        <v/>
      </c>
      <c r="K2956">
        <f>HYPERLINK("https://raw.githubusercontent.com/marcosmapl/dataset_imigrantes/main/noticias_filtered/g1/haitianos/2014/11_dez/html/g1_da410d3e-22f0-11ed-b24f-6dbe51e79fca_1722.html", "HTML")</f>
        <v/>
      </c>
      <c r="L2956">
        <f>HYPERLINK("https://raw.githubusercontent.com/marcosmapl/dataset_imigrantes/main/noticias_filtered/g1/haitianos/2014/11_dez/txt/g1_da410d3e-22f0-11ed-b24f-6dbe51e79fca_1722.txt", "TXT")</f>
        <v/>
      </c>
    </row>
    <row r="2957">
      <c r="A2957" s="1" t="n">
        <v>2955</v>
      </c>
      <c r="B2957" t="n">
        <v>2014</v>
      </c>
      <c r="C2957" s="2" t="n">
        <v>41990.15138888889</v>
      </c>
      <c r="D2957" t="inlineStr">
        <is>
          <t>G1</t>
        </is>
      </c>
      <c r="E2957" t="inlineStr">
        <is>
          <t>HAITIANOS</t>
        </is>
      </c>
      <c r="F2957" t="inlineStr"/>
      <c r="G2957" t="inlineStr">
        <is>
          <t>FE</t>
        </is>
      </c>
      <c r="H2957" t="inlineStr">
        <is>
          <t>MANIFESTAÇÃO CONTRA O GOVERNO ACABA EM CONFRONTO COM A POLÍCIA NO HAITI</t>
        </is>
      </c>
      <c r="I2957" t="inlineStr"/>
      <c r="J2957">
        <f>HYPERLINK("http://g1.globo.com/mundo/noticia/2014/12/manifestacao-contra-o-governo-acaba-em-confronto-com-policia-no-haiti.html", "URL")</f>
        <v/>
      </c>
      <c r="K2957">
        <f>HYPERLINK("https://raw.githubusercontent.com/marcosmapl/dataset_imigrantes/main/noticias_filtered/g1/haitianos/2014/11_dez/html/g1_ce49a9fa-230e-11ed-b24f-6dbe51e79fca_2758.html", "HTML")</f>
        <v/>
      </c>
      <c r="L2957">
        <f>HYPERLINK("https://raw.githubusercontent.com/marcosmapl/dataset_imigrantes/main/noticias_filtered/g1/haitianos/2014/11_dez/txt/g1_ce49a9fa-230e-11ed-b24f-6dbe51e79fca_2758.txt", "TXT")</f>
        <v/>
      </c>
    </row>
    <row r="2958">
      <c r="A2958" s="1" t="n">
        <v>2956</v>
      </c>
      <c r="B2958" t="n">
        <v>2014</v>
      </c>
      <c r="C2958" s="2" t="n">
        <v>41988.73888888889</v>
      </c>
      <c r="D2958" t="inlineStr">
        <is>
          <t>G1</t>
        </is>
      </c>
      <c r="E2958" t="inlineStr">
        <is>
          <t>HAITIANOS</t>
        </is>
      </c>
      <c r="F2958" t="inlineStr"/>
      <c r="G2958" t="inlineStr">
        <is>
          <t>ISON SEVERIANODO G1 AM</t>
        </is>
      </c>
      <c r="H2958" t="inlineStr">
        <is>
          <t>'NÃO SOMOS ESCRAVOS', DIZ HAITIANO NO AM EM ATO CONTRA ATRASO DE SALÁRIOS</t>
        </is>
      </c>
      <c r="I2958" t="inlineStr"/>
      <c r="J2958">
        <f>HYPERLINK("http://g1.globo.com/am/amazonas/noticia/2014/12/nao-somos-escravos-diz-haitiano-no-am-em-ato-contra-atraso-de-salarios.html", "URL")</f>
        <v/>
      </c>
      <c r="K2958">
        <f>HYPERLINK("https://raw.githubusercontent.com/marcosmapl/dataset_imigrantes/main/noticias_filtered/g1/haitianos/2014/11_dez/html/g1_caf1a9ba-2318-11ed-b24f-6dbe51e79fca_3280.html", "HTML")</f>
        <v/>
      </c>
      <c r="L2958">
        <f>HYPERLINK("https://raw.githubusercontent.com/marcosmapl/dataset_imigrantes/main/noticias_filtered/g1/haitianos/2014/11_dez/txt/g1_caf1a9ba-2318-11ed-b24f-6dbe51e79fca_3280.txt", "TXT")</f>
        <v/>
      </c>
    </row>
    <row r="2959">
      <c r="A2959" s="1" t="n">
        <v>2957</v>
      </c>
      <c r="B2959" t="n">
        <v>2014</v>
      </c>
      <c r="C2959" s="2" t="n">
        <v>41981.85833333333</v>
      </c>
      <c r="D2959" t="inlineStr">
        <is>
          <t>G1</t>
        </is>
      </c>
      <c r="E2959" t="inlineStr">
        <is>
          <t>HAITIANOS</t>
        </is>
      </c>
      <c r="F2959" t="inlineStr"/>
      <c r="G2959" t="inlineStr">
        <is>
          <t>1 PR</t>
        </is>
      </c>
      <c r="H2959" t="inlineStr">
        <is>
          <t>HOMEM É PRESO SUSPEITO DE TRÁFICO INTERNACIONAL DE PESSOAS, DIZ POLÍCIA</t>
        </is>
      </c>
      <c r="I2959" t="inlineStr"/>
      <c r="J2959">
        <f>HYPERLINK("http://g1.globo.com/pr/oeste-sudoeste/noticia/2014/12/homem-e-preso-suspeito-de-trafico-internacional-de-pessoas-diz-policia.html", "URL")</f>
        <v/>
      </c>
      <c r="K2959">
        <f>HYPERLINK("https://raw.githubusercontent.com/marcosmapl/dataset_imigrantes/main/noticias_filtered/g1/haitianos/2014/11_dez/html/g1_2eabac30-2314-11ed-b24f-6dbe51e79fca_3050.html", "HTML")</f>
        <v/>
      </c>
      <c r="L2959">
        <f>HYPERLINK("https://raw.githubusercontent.com/marcosmapl/dataset_imigrantes/main/noticias_filtered/g1/haitianos/2014/11_dez/txt/g1_2eabac30-2314-11ed-b24f-6dbe51e79fca_3050.txt", "TXT")</f>
        <v/>
      </c>
    </row>
    <row r="2960">
      <c r="A2960" s="1" t="n">
        <v>2958</v>
      </c>
      <c r="B2960" t="n">
        <v>2014</v>
      </c>
      <c r="C2960" s="2" t="n">
        <v>41981.57986111111</v>
      </c>
      <c r="D2960" t="inlineStr">
        <is>
          <t>G1</t>
        </is>
      </c>
      <c r="E2960" t="inlineStr">
        <is>
          <t>HAITIANOS</t>
        </is>
      </c>
      <c r="F2960" t="inlineStr"/>
      <c r="G2960" t="inlineStr">
        <is>
          <t>YANA ARAÚJODO G1 MT</t>
        </is>
      </c>
      <c r="H2960" t="inlineStr">
        <is>
          <t>ANTES DE EMBARCAR, HAITIANA DÁ À LUZ EM BANHEIRO DE RODOVIÁRIA DE CUIABÁ</t>
        </is>
      </c>
      <c r="I2960" t="inlineStr"/>
      <c r="J2960">
        <f>HYPERLINK("http://g1.globo.com/mato-grosso/noticia/2014/12/haitiana-da-luz-em-banheiro-de-rodoviaria-de-cuiaba.html", "URL")</f>
        <v/>
      </c>
      <c r="K2960">
        <f>HYPERLINK("https://raw.githubusercontent.com/marcosmapl/dataset_imigrantes/main/noticias_filtered/g1/haitianos/2014/11_dez/html/g1_d2120360-22ec-11ed-b24f-6dbe51e79fca_1669.html", "HTML")</f>
        <v/>
      </c>
      <c r="L2960">
        <f>HYPERLINK("https://raw.githubusercontent.com/marcosmapl/dataset_imigrantes/main/noticias_filtered/g1/haitianos/2014/11_dez/txt/g1_d2120360-22ec-11ed-b24f-6dbe51e79fca_1669.txt", "TXT")</f>
        <v/>
      </c>
    </row>
    <row r="2961">
      <c r="A2961" s="1" t="n">
        <v>2959</v>
      </c>
      <c r="B2961" t="n">
        <v>2014</v>
      </c>
      <c r="C2961" s="2" t="n">
        <v>41978.50277777778</v>
      </c>
      <c r="D2961" t="inlineStr">
        <is>
          <t>G1</t>
        </is>
      </c>
      <c r="E2961" t="inlineStr">
        <is>
          <t>HAITIANOS</t>
        </is>
      </c>
      <c r="F2961" t="inlineStr"/>
      <c r="G2961" t="inlineStr">
        <is>
          <t>1 AC</t>
        </is>
      </c>
      <c r="H2961" t="inlineStr">
        <is>
          <t>CRUZEIRO DO SUL RECEBE EXPOSIÇÃO 'O HAITI (NÃO) É AQUI' ATÉ JANEIRO DE 2015</t>
        </is>
      </c>
      <c r="I2961" t="inlineStr"/>
      <c r="J2961">
        <f>HYPERLINK("http://g1.globo.com/ac/acre/noticia/2014/12/cruzeiro-do-sul-recebe-exposicao-o-haiti-nao-e-aqui-ate-janeiro-de-2015.html", "URL")</f>
        <v/>
      </c>
      <c r="K2961">
        <f>HYPERLINK("https://raw.githubusercontent.com/marcosmapl/dataset_imigrantes/main/noticias_filtered/g1/haitianos/2014/11_dez/html/g1_bde8ae8a-2318-11ed-b24f-6dbe51e79fca_3276.html", "HTML")</f>
        <v/>
      </c>
      <c r="L2961">
        <f>HYPERLINK("https://raw.githubusercontent.com/marcosmapl/dataset_imigrantes/main/noticias_filtered/g1/haitianos/2014/11_dez/txt/g1_bde8ae8a-2318-11ed-b24f-6dbe51e79fca_3276.txt", "TXT")</f>
        <v/>
      </c>
    </row>
    <row r="2962">
      <c r="A2962" s="1" t="n">
        <v>2960</v>
      </c>
      <c r="B2962" t="n">
        <v>2014</v>
      </c>
      <c r="C2962" s="2" t="n">
        <v>41976.65902777778</v>
      </c>
      <c r="D2962" t="inlineStr">
        <is>
          <t>G1</t>
        </is>
      </c>
      <c r="E2962" t="inlineStr">
        <is>
          <t>VENEZUELANOS</t>
        </is>
      </c>
      <c r="F2962" t="inlineStr"/>
      <c r="G2962" t="inlineStr">
        <is>
          <t>1, EM SÃO PAULO</t>
        </is>
      </c>
      <c r="H2962" t="inlineStr">
        <is>
          <t>OPOSITORA VENEZUELANA É INDICIADA POR SUPOSTO PLANO PARA MATAR MADURO</t>
        </is>
      </c>
      <c r="I2962" t="inlineStr"/>
      <c r="J2962">
        <f>HYPERLINK("http://g1.globo.com/mundo/noticia/2014/12/opositora-venezuelana-e-indiciada-por-suposto-plano-para-matar-maduro.html", "URL")</f>
        <v/>
      </c>
      <c r="K2962">
        <f>HYPERLINK("https://raw.githubusercontent.com/marcosmapl/dataset_imigrantes/main/noticias_filtered/g1/venezuelanos/2014/11_dez/html/g1_6dfe49ce-2319-11ed-b24f-6dbe51e79fca_3316.html", "HTML")</f>
        <v/>
      </c>
      <c r="L2962">
        <f>HYPERLINK("https://raw.githubusercontent.com/marcosmapl/dataset_imigrantes/main/noticias_filtered/g1/venezuelanos/2014/11_dez/txt/g1_6dfe49ce-2319-11ed-b24f-6dbe51e79fca_3316.txt", "TXT")</f>
        <v/>
      </c>
    </row>
    <row r="2963">
      <c r="A2963" s="1" t="n">
        <v>2961</v>
      </c>
      <c r="B2963" t="n">
        <v>2014</v>
      </c>
      <c r="C2963" s="2" t="n">
        <v>41975.58819444444</v>
      </c>
      <c r="D2963" t="inlineStr">
        <is>
          <t>G1</t>
        </is>
      </c>
      <c r="E2963" t="inlineStr">
        <is>
          <t>HAITIANOS</t>
        </is>
      </c>
      <c r="F2963" t="inlineStr"/>
      <c r="G2963" t="inlineStr">
        <is>
          <t>A MENEZESDO G1 RS</t>
        </is>
      </c>
      <c r="H2963" t="inlineStr">
        <is>
          <t>RS RECEBE NOVO ÔNIBUS DE HAITIANOS, MAS GRUPO DECIDE IR A OUTROS ESTADOS</t>
        </is>
      </c>
      <c r="I2963" t="inlineStr"/>
      <c r="J2963">
        <f>HYPERLINK("http://g1.globo.com/rs/rio-grande-do-sul/noticia/2014/12/rs-recebe-novo-onibus-de-haitianos-mas-grupo-decide-ir-outros-estados.html", "URL")</f>
        <v/>
      </c>
      <c r="K2963">
        <f>HYPERLINK("https://raw.githubusercontent.com/marcosmapl/dataset_imigrantes/main/noticias_filtered/g1/haitianos/2014/11_dez/html/g1_cd472e56-22fa-11ed-b24f-6dbe51e79fca_2242.html", "HTML")</f>
        <v/>
      </c>
      <c r="L2963">
        <f>HYPERLINK("https://raw.githubusercontent.com/marcosmapl/dataset_imigrantes/main/noticias_filtered/g1/haitianos/2014/11_dez/txt/g1_cd472e56-22fa-11ed-b24f-6dbe51e79fca_2242.txt", "TXT")</f>
        <v/>
      </c>
    </row>
    <row r="2964">
      <c r="A2964" s="1" t="n">
        <v>2962</v>
      </c>
      <c r="B2964" t="n">
        <v>2014</v>
      </c>
      <c r="C2964" s="2" t="n">
        <v>41972.18125</v>
      </c>
      <c r="D2964" t="inlineStr">
        <is>
          <t>G1</t>
        </is>
      </c>
      <c r="E2964" t="inlineStr">
        <is>
          <t>HAITIANOS</t>
        </is>
      </c>
      <c r="F2964" t="inlineStr"/>
      <c r="G2964" t="inlineStr">
        <is>
          <t>FE</t>
        </is>
      </c>
      <c r="H2964" t="inlineStr">
        <is>
          <t>MILHARES DE HAITIANOS VOLTAM ÀS RUAS PARA EXIGIR RENÚNCIA DE PRESIDENTE</t>
        </is>
      </c>
      <c r="I2964" t="inlineStr"/>
      <c r="J2964">
        <f>HYPERLINK("http://g1.globo.com/mundo/noticia/2014/11/milhares-de-haitianos-voltam-as-ruas-para-exigir-renuncia-de-presidente.html", "URL")</f>
        <v/>
      </c>
      <c r="K2964">
        <f>HYPERLINK("https://raw.githubusercontent.com/marcosmapl/dataset_imigrantes/main/noticias_filtered/g1/haitianos/2014/10_nov/html/g1_e9e6f79c-22f2-11ed-b24f-6dbe51e79fca_1818.html", "HTML")</f>
        <v/>
      </c>
      <c r="L2964">
        <f>HYPERLINK("https://raw.githubusercontent.com/marcosmapl/dataset_imigrantes/main/noticias_filtered/g1/haitianos/2014/10_nov/txt/g1_e9e6f79c-22f2-11ed-b24f-6dbe51e79fca_1818.txt", "TXT")</f>
        <v/>
      </c>
    </row>
    <row r="2965">
      <c r="A2965" s="1" t="n">
        <v>2963</v>
      </c>
      <c r="B2965" t="n">
        <v>2014</v>
      </c>
      <c r="C2965" s="2" t="n">
        <v>41971.925</v>
      </c>
      <c r="D2965" t="inlineStr">
        <is>
          <t>G1</t>
        </is>
      </c>
      <c r="E2965" t="inlineStr">
        <is>
          <t>HAITIANOS</t>
        </is>
      </c>
      <c r="F2965" t="inlineStr"/>
      <c r="G2965" t="inlineStr">
        <is>
          <t>1 RS</t>
        </is>
      </c>
      <c r="H2965" t="inlineStr">
        <is>
          <t>GOVERNO DO RS MANDA OFÍCIO AO ACRE SOBRE SITUAÇÃO DOS HAITIANOS</t>
        </is>
      </c>
      <c r="I2965" t="inlineStr"/>
      <c r="J2965">
        <f>HYPERLINK("http://g1.globo.com/rs/rio-grande-do-sul/noticia/2014/11/governo-do-rs-manda-oficio-ao-acre-sobre-situacao-dos-haitianos.html", "URL")</f>
        <v/>
      </c>
      <c r="K2965">
        <f>HYPERLINK("https://raw.githubusercontent.com/marcosmapl/dataset_imigrantes/main/noticias_filtered/g1/haitianos/2014/10_nov/html/g1_37ded33e-22f8-11ed-b24f-6dbe51e79fca_2122.html", "HTML")</f>
        <v/>
      </c>
      <c r="L2965">
        <f>HYPERLINK("https://raw.githubusercontent.com/marcosmapl/dataset_imigrantes/main/noticias_filtered/g1/haitianos/2014/10_nov/txt/g1_37ded33e-22f8-11ed-b24f-6dbe51e79fca_2122.txt", "TXT")</f>
        <v/>
      </c>
    </row>
    <row r="2966">
      <c r="A2966" s="1" t="n">
        <v>2964</v>
      </c>
      <c r="B2966" t="n">
        <v>2014</v>
      </c>
      <c r="C2966" s="2" t="n">
        <v>41971.69236111111</v>
      </c>
      <c r="D2966" t="inlineStr">
        <is>
          <t>G1</t>
        </is>
      </c>
      <c r="E2966" t="inlineStr">
        <is>
          <t>VENEZUELANOS</t>
        </is>
      </c>
      <c r="F2966" t="inlineStr"/>
      <c r="G2966" t="inlineStr">
        <is>
          <t>FP</t>
        </is>
      </c>
      <c r="H2966" t="inlineStr">
        <is>
          <t>MORTOS POR INTOXICAÇÃO EM PRISÃO VENEZUELANA SOBEM PARA 33, DIZ ONG</t>
        </is>
      </c>
      <c r="I2966" t="inlineStr"/>
      <c r="J2966">
        <f>HYPERLINK("http://g1.globo.com/mundo/noticia/2014/11/mortos-por-intoxicacao-em-prisao-venezuelana-sobe-para-33-diz-ong.html", "URL")</f>
        <v/>
      </c>
      <c r="K2966">
        <f>HYPERLINK("https://raw.githubusercontent.com/marcosmapl/dataset_imigrantes/main/noticias_filtered/g1/venezuelanos/2014/10_nov/html/g1_19c30ff6-2324-11ed-b24f-6dbe51e79fca_3849.html", "HTML")</f>
        <v/>
      </c>
      <c r="L2966">
        <f>HYPERLINK("https://raw.githubusercontent.com/marcosmapl/dataset_imigrantes/main/noticias_filtered/g1/venezuelanos/2014/10_nov/txt/g1_19c30ff6-2324-11ed-b24f-6dbe51e79fca_3849.txt", "TXT")</f>
        <v/>
      </c>
    </row>
    <row r="2967">
      <c r="A2967" s="1" t="n">
        <v>2965</v>
      </c>
      <c r="B2967" t="n">
        <v>2014</v>
      </c>
      <c r="C2967" s="2" t="n">
        <v>41970.69930555556</v>
      </c>
      <c r="D2967" t="inlineStr">
        <is>
          <t>G1</t>
        </is>
      </c>
      <c r="E2967" t="inlineStr">
        <is>
          <t>HAITIANOS</t>
        </is>
      </c>
      <c r="F2967" t="inlineStr"/>
      <c r="G2967" t="inlineStr">
        <is>
          <t>VÃO PIRESE JONAS CAMPOSDO G1 RS E RBS TV</t>
        </is>
      </c>
      <c r="H2967" t="inlineStr">
        <is>
          <t>APÓS VIAGEM DO ACRE AO RS, GRUPO DE HAITIANOS SE DIRIGE A SC, PR E SP</t>
        </is>
      </c>
      <c r="I2967" t="inlineStr"/>
      <c r="J2967">
        <f>HYPERLINK("http://g1.globo.com/rs/rio-grande-do-sul/noticia/2014/11/apos-viagem-do-acre-ao-rs-grupo-de-haitianos-se-dirige-sc-pr-e-sp.html", "URL")</f>
        <v/>
      </c>
      <c r="K2967">
        <f>HYPERLINK("https://raw.githubusercontent.com/marcosmapl/dataset_imigrantes/main/noticias_filtered/g1/haitianos/2014/10_nov/html/g1_c22721a4-22f3-11ed-b24f-6dbe51e79fca_1856.html", "HTML")</f>
        <v/>
      </c>
      <c r="L2967">
        <f>HYPERLINK("https://raw.githubusercontent.com/marcosmapl/dataset_imigrantes/main/noticias_filtered/g1/haitianos/2014/10_nov/txt/g1_c22721a4-22f3-11ed-b24f-6dbe51e79fca_1856.txt", "TXT")</f>
        <v/>
      </c>
    </row>
    <row r="2968">
      <c r="A2968" s="1" t="n">
        <v>2966</v>
      </c>
      <c r="B2968" t="n">
        <v>2014</v>
      </c>
      <c r="C2968" s="2" t="n">
        <v>41970.54375</v>
      </c>
      <c r="D2968" t="inlineStr">
        <is>
          <t>G1</t>
        </is>
      </c>
      <c r="E2968" t="inlineStr">
        <is>
          <t>HAITIANOS</t>
        </is>
      </c>
      <c r="F2968" t="inlineStr"/>
      <c r="G2968" t="inlineStr">
        <is>
          <t>1 RS</t>
        </is>
      </c>
      <c r="H2968" t="inlineStr">
        <is>
          <t>ÔNIBUS COM IMIGRANTES HAITIANOS ENVIADO DO ACRE CHEGA AO RS</t>
        </is>
      </c>
      <c r="I2968" t="inlineStr"/>
      <c r="J2968">
        <f>HYPERLINK("http://g1.globo.com/rs/rio-grande-do-sul/noticia/2014/11/onibus-com-imigrantes-haitianos-enviado-do-acre-chega-ao-rs.html", "URL")</f>
        <v/>
      </c>
      <c r="K2968">
        <f>HYPERLINK("https://raw.githubusercontent.com/marcosmapl/dataset_imigrantes/main/noticias_filtered/g1/haitianos/2014/10_nov/html/g1_1b73490e-22f4-11ed-b24f-6dbe51e79fca_1874.html", "HTML")</f>
        <v/>
      </c>
      <c r="L2968">
        <f>HYPERLINK("https://raw.githubusercontent.com/marcosmapl/dataset_imigrantes/main/noticias_filtered/g1/haitianos/2014/10_nov/txt/g1_1b73490e-22f4-11ed-b24f-6dbe51e79fca_1874.txt", "TXT")</f>
        <v/>
      </c>
    </row>
    <row r="2969">
      <c r="A2969" s="1" t="n">
        <v>2967</v>
      </c>
      <c r="B2969" t="n">
        <v>2014</v>
      </c>
      <c r="C2969" s="2" t="n">
        <v>41957.52222222222</v>
      </c>
      <c r="D2969" t="inlineStr">
        <is>
          <t>G1</t>
        </is>
      </c>
      <c r="E2969" t="inlineStr">
        <is>
          <t>HAITIANOS</t>
        </is>
      </c>
      <c r="F2969" t="inlineStr"/>
      <c r="G2969" t="inlineStr">
        <is>
          <t>1 RIBEIRÃO E FRANCA</t>
        </is>
      </c>
      <c r="H2969" t="inlineStr">
        <is>
          <t>HAITIANOS SÃO FLAGRADOS TRABALHANDO EM SITUAÇÃO IRREGULAR NA CEAGESP</t>
        </is>
      </c>
      <c r="I2969" t="inlineStr"/>
      <c r="J2969">
        <f>HYPERLINK("http://g1.globo.com/sp/ribeirao-preto-franca/noticia/2014/11/haitianos-sao-flagrados-trabalhando-em-situacao-irregular-na-ceagesp.html", "URL")</f>
        <v/>
      </c>
      <c r="K2969">
        <f>HYPERLINK("https://raw.githubusercontent.com/marcosmapl/dataset_imigrantes/main/noticias_filtered/g1/haitianos/2014/10_nov/html/g1_78df705a-22f8-11ed-b24f-6dbe51e79fca_2137.html", "HTML")</f>
        <v/>
      </c>
      <c r="L2969">
        <f>HYPERLINK("https://raw.githubusercontent.com/marcosmapl/dataset_imigrantes/main/noticias_filtered/g1/haitianos/2014/10_nov/txt/g1_78df705a-22f8-11ed-b24f-6dbe51e79fca_2137.txt", "TXT")</f>
        <v/>
      </c>
    </row>
    <row r="2970">
      <c r="A2970" s="1" t="n">
        <v>2968</v>
      </c>
      <c r="B2970" t="n">
        <v>2014</v>
      </c>
      <c r="C2970" s="2" t="n">
        <v>41954.72799768519</v>
      </c>
      <c r="D2970" t="inlineStr">
        <is>
          <t>A CRITICA</t>
        </is>
      </c>
      <c r="E2970" t="inlineStr">
        <is>
          <t>VENEZUELANOS</t>
        </is>
      </c>
      <c r="F2970" t="inlineStr"/>
      <c r="G2970" t="inlineStr">
        <is>
          <t>ACRÍTICA.COM</t>
        </is>
      </c>
      <c r="H2970" t="inlineStr">
        <is>
          <t>FVS CONFIRMA 2º CASO ‘IMPORTADO’ DE CHIKUNGUNYA EM MANAUS</t>
        </is>
      </c>
      <c r="I2970" t="inlineStr">
        <is>
          <t>PACIENTE É UMA BRASILEIRA RESIDENTE NA GUIANA QUE VISITOU MANAUS, MAS JÁ RETORNOU AO PAÍS ONDE VIVE. SEGUNDO FVS, MULHER JÁ CHEGOU À CAPITAL AMAZONENSE COM OS SINTOMAS CRÔNICOS DA DOENÇA</t>
        </is>
      </c>
      <c r="J2970">
        <f>HYPERLINK("https://www.acritica.com/fvs-confirma-2-caso-importado-de-chikungunya-em-manaus-1.242341", "URL")</f>
        <v/>
      </c>
      <c r="K2970">
        <f>HYPERLINK("https://raw.githubusercontent.com/marcosmapl/dataset_imigrantes/main/noticias_filtered/a_critica/venezuelanos/2014/10_nov/html/1.242341_183.html", "HTML")</f>
        <v/>
      </c>
      <c r="L2970">
        <f>HYPERLINK("https://raw.githubusercontent.com/marcosmapl/dataset_imigrantes/main/noticias_filtered/a_critica/venezuelanos/2014/10_nov/txt/1.242341_183.txt", "TXT")</f>
        <v/>
      </c>
    </row>
    <row r="2971">
      <c r="A2971" s="1" t="n">
        <v>2969</v>
      </c>
      <c r="B2971" t="n">
        <v>2014</v>
      </c>
      <c r="C2971" s="2" t="n">
        <v>41949.81674768519</v>
      </c>
      <c r="D2971" t="inlineStr">
        <is>
          <t>A CRITICA</t>
        </is>
      </c>
      <c r="E2971" t="inlineStr">
        <is>
          <t>VENEZUELANOS</t>
        </is>
      </c>
      <c r="F2971" t="inlineStr"/>
      <c r="G2971" t="inlineStr">
        <is>
          <t>ACRÍTICA.COM</t>
        </is>
      </c>
      <c r="H2971" t="inlineStr">
        <is>
          <t>SAIBA MAIS SOBRE OS SINTOMAS E TRATAMENTO DA CHIKUNGUNYA</t>
        </is>
      </c>
      <c r="I2971" t="inlineStr">
        <is>
          <t>MINISTÉRIO DA SAÚDE DÁ DETALHES SOBRE DOENÇA SEMELHANTE À DENGUE E QUE JÁ TEVE PELO MENOS 828 REGISTROS NO PAÍS. EM MANAUS, PRIMEIRO CASO FOI CONFIRMADO NA ÚLTIMA SEGUNDA (3) EM VENEZUELANA QUE PASSAVA FÉRIAS NA CAPITAL</t>
        </is>
      </c>
      <c r="J2971">
        <f>HYPERLINK("https://www.acritica.com/saiba-mais-sobre-os-sintomas-e-tratamento-da-chikungunya-1.242402", "URL")</f>
        <v/>
      </c>
      <c r="K2971">
        <f>HYPERLINK("https://raw.githubusercontent.com/marcosmapl/dataset_imigrantes/main/noticias_filtered/a_critica/venezuelanos/2014/10_nov/html/1.242402_894.html", "HTML")</f>
        <v/>
      </c>
      <c r="L2971">
        <f>HYPERLINK("https://raw.githubusercontent.com/marcosmapl/dataset_imigrantes/main/noticias_filtered/a_critica/venezuelanos/2014/10_nov/txt/1.242402_894.txt", "TXT")</f>
        <v/>
      </c>
    </row>
    <row r="2972">
      <c r="A2972" s="1" t="n">
        <v>2970</v>
      </c>
      <c r="B2972" t="n">
        <v>2014</v>
      </c>
      <c r="C2972" s="2" t="n">
        <v>41949.79375</v>
      </c>
      <c r="D2972" t="inlineStr">
        <is>
          <t>G1</t>
        </is>
      </c>
      <c r="E2972" t="inlineStr">
        <is>
          <t>HAITIANOS</t>
        </is>
      </c>
      <c r="F2972" t="inlineStr"/>
      <c r="G2972" t="inlineStr">
        <is>
          <t>RANCE PRESSE</t>
        </is>
      </c>
      <c r="H2972" t="inlineStr">
        <is>
          <t>TEMPESTADE DEIXA AO MENOS OITO MORTOS E MILHARES DE AFETADOS NO HAITI</t>
        </is>
      </c>
      <c r="I2972" t="inlineStr"/>
      <c r="J2972">
        <f>HYPERLINK("http://g1.globo.com/mundo/noticia/2014/11/tempestade-deixa-ao-menos-oito-mortos-e-milhares-de-afetados-no-haiti.html", "URL")</f>
        <v/>
      </c>
      <c r="K2972">
        <f>HYPERLINK("https://raw.githubusercontent.com/marcosmapl/dataset_imigrantes/main/noticias_filtered/g1/haitianos/2014/10_nov/html/g1_fd4630e4-2312-11ed-b24f-6dbe51e79fca_2986.html", "HTML")</f>
        <v/>
      </c>
      <c r="L2972">
        <f>HYPERLINK("https://raw.githubusercontent.com/marcosmapl/dataset_imigrantes/main/noticias_filtered/g1/haitianos/2014/10_nov/txt/g1_fd4630e4-2312-11ed-b24f-6dbe51e79fca_2986.txt", "TXT")</f>
        <v/>
      </c>
    </row>
    <row r="2973">
      <c r="A2973" s="1" t="n">
        <v>2971</v>
      </c>
      <c r="B2973" t="n">
        <v>2014</v>
      </c>
      <c r="C2973" s="2" t="n">
        <v>41946.75853009259</v>
      </c>
      <c r="D2973" t="inlineStr">
        <is>
          <t>A CRITICA</t>
        </is>
      </c>
      <c r="E2973" t="inlineStr">
        <is>
          <t>VENEZUELANOS</t>
        </is>
      </c>
      <c r="F2973" t="inlineStr">
        <is>
          <t>MANAUS</t>
        </is>
      </c>
      <c r="G2973" t="inlineStr">
        <is>
          <t>ACRÍTICA.COM</t>
        </is>
      </c>
      <c r="H2973" t="inlineStr">
        <is>
          <t>APÓS CASOS SUSPEITOS, FVS CONFIRMA PRIMEIRO REGISTRO DE FEBRE CHIKUNGUNYA EM MANAUS</t>
        </is>
      </c>
      <c r="I2973" t="inlineStr">
        <is>
          <t>RESULTADO DE MULHER VENEZUELANA FOI POSITIVO, SEGUNDO FUNDAÇÃO. DIRETOR-PRESIDENTE DO ÓRGÃO GARANTE QUE O AMAZONAS NÃO POSSUI VÍRUS</t>
        </is>
      </c>
      <c r="J2973">
        <f>HYPERLINK("https://www.acritica.com/manaus/apos-casos-suspeitos-fvs-confirma-primeiro-registro-de-febre-chikungunya-em-manaus-1.242430", "URL")</f>
        <v/>
      </c>
      <c r="K2973">
        <f>HYPERLINK("https://raw.githubusercontent.com/marcosmapl/dataset_imigrantes/main/noticias_filtered/a_critica/venezuelanos/2014/10_nov/html/1.242430_342.html", "HTML")</f>
        <v/>
      </c>
      <c r="L2973">
        <f>HYPERLINK("https://raw.githubusercontent.com/marcosmapl/dataset_imigrantes/main/noticias_filtered/a_critica/venezuelanos/2014/10_nov/txt/1.242430_342.txt", "TXT")</f>
        <v/>
      </c>
    </row>
    <row r="2974">
      <c r="A2974" s="1" t="n">
        <v>2972</v>
      </c>
      <c r="B2974" t="n">
        <v>2014</v>
      </c>
      <c r="C2974" s="2" t="n">
        <v>41946.56388888889</v>
      </c>
      <c r="D2974" t="inlineStr">
        <is>
          <t>G1</t>
        </is>
      </c>
      <c r="E2974" t="inlineStr">
        <is>
          <t>HAITIANOS</t>
        </is>
      </c>
      <c r="F2974" t="inlineStr"/>
      <c r="G2974" t="inlineStr">
        <is>
          <t>RANCE PRESSE</t>
        </is>
      </c>
      <c r="H2974" t="inlineStr">
        <is>
          <t>YANICK LAHENS, DO HAITI, GANHA O FEMINA, PRÊMIO DE LITERATURA FRANCÊS</t>
        </is>
      </c>
      <c r="I2974" t="inlineStr"/>
      <c r="J2974">
        <f>HYPERLINK("http://g1.globo.com/pop-arte/noticia/2014/11/yanick-lahens-do-haiti-ganha-o-femina-premio-de-literatura-frances.html", "URL")</f>
        <v/>
      </c>
      <c r="K2974">
        <f>HYPERLINK("https://raw.githubusercontent.com/marcosmapl/dataset_imigrantes/main/noticias_filtered/g1/haitianos/2014/10_nov/html/g1_6a7a88e2-232a-11ed-b24f-6dbe51e79fca_4178.html", "HTML")</f>
        <v/>
      </c>
      <c r="L2974">
        <f>HYPERLINK("https://raw.githubusercontent.com/marcosmapl/dataset_imigrantes/main/noticias_filtered/g1/haitianos/2014/10_nov/txt/g1_6a7a88e2-232a-11ed-b24f-6dbe51e79fca_4178.txt", "TXT")</f>
        <v/>
      </c>
    </row>
    <row r="2975">
      <c r="A2975" s="1" t="n">
        <v>2973</v>
      </c>
      <c r="B2975" t="n">
        <v>2014</v>
      </c>
      <c r="C2975" s="2" t="n">
        <v>41941.40486111111</v>
      </c>
      <c r="D2975" t="inlineStr">
        <is>
          <t>G1</t>
        </is>
      </c>
      <c r="E2975" t="inlineStr">
        <is>
          <t>HAITIANOS</t>
        </is>
      </c>
      <c r="F2975" t="inlineStr"/>
      <c r="G2975" t="inlineStr">
        <is>
          <t>1 GO, COM INFORMAÇÕES DA TV ANHANGUERA</t>
        </is>
      </c>
      <c r="H2975" t="inlineStr">
        <is>
          <t>HAITIANO DENUNCIA AGRESSÃO E AFIRMA SER VÍTIMA DE PRECONCEITO, EM GOIÁS</t>
        </is>
      </c>
      <c r="I2975" t="inlineStr"/>
      <c r="J2975">
        <f>HYPERLINK("http://g1.globo.com/goias/noticia/2014/10/haitiano-denuncia-agressao-e-afirma-ser-vitima-de-preconceito-em-goias.html", "URL")</f>
        <v/>
      </c>
      <c r="K2975">
        <f>HYPERLINK("https://raw.githubusercontent.com/marcosmapl/dataset_imigrantes/main/noticias_filtered/g1/haitianos/2014/09_out/html/g1_c8df0302-2322-11ed-b24f-6dbe51e79fca_3773.html", "HTML")</f>
        <v/>
      </c>
      <c r="L2975">
        <f>HYPERLINK("https://raw.githubusercontent.com/marcosmapl/dataset_imigrantes/main/noticias_filtered/g1/haitianos/2014/09_out/txt/g1_c8df0302-2322-11ed-b24f-6dbe51e79fca_3773.txt", "TXT")</f>
        <v/>
      </c>
    </row>
    <row r="2976">
      <c r="A2976" s="1" t="n">
        <v>2974</v>
      </c>
      <c r="B2976" t="n">
        <v>2014</v>
      </c>
      <c r="C2976" s="2" t="n">
        <v>41940.48472222222</v>
      </c>
      <c r="D2976" t="inlineStr">
        <is>
          <t>G1</t>
        </is>
      </c>
      <c r="E2976" t="inlineStr">
        <is>
          <t>HAITIANOS</t>
        </is>
      </c>
      <c r="F2976" t="inlineStr"/>
      <c r="G2976" t="inlineStr">
        <is>
          <t>1 MT</t>
        </is>
      </c>
      <c r="H2976" t="inlineStr">
        <is>
          <t>HAITIANOS VÃO PARA O INTERIOR DE MATO GROSSO APÓS OFERTA DE TRABALHO</t>
        </is>
      </c>
      <c r="I2976" t="inlineStr"/>
      <c r="J2976">
        <f>HYPERLINK("http://g1.globo.com/mato-grosso/noticia/2014/10/haitianos-vao-para-o-interior-de-mato-grosso-apos-oferta-de-trabalho.html", "URL")</f>
        <v/>
      </c>
      <c r="K2976">
        <f>HYPERLINK("https://raw.githubusercontent.com/marcosmapl/dataset_imigrantes/main/noticias_filtered/g1/haitianos/2014/09_out/html/g1_67ccafb2-22f3-11ed-b24f-6dbe51e79fca_1839.html", "HTML")</f>
        <v/>
      </c>
      <c r="L2976">
        <f>HYPERLINK("https://raw.githubusercontent.com/marcosmapl/dataset_imigrantes/main/noticias_filtered/g1/haitianos/2014/09_out/txt/g1_67ccafb2-22f3-11ed-b24f-6dbe51e79fca_1839.txt", "TXT")</f>
        <v/>
      </c>
    </row>
    <row r="2977">
      <c r="A2977" s="1" t="n">
        <v>2975</v>
      </c>
      <c r="B2977" t="n">
        <v>2014</v>
      </c>
      <c r="C2977" s="2" t="n">
        <v>41939.74652777778</v>
      </c>
      <c r="D2977" t="inlineStr">
        <is>
          <t>G1</t>
        </is>
      </c>
      <c r="E2977" t="inlineStr">
        <is>
          <t>HAITIANOS</t>
        </is>
      </c>
      <c r="F2977" t="inlineStr"/>
      <c r="G2977" t="inlineStr">
        <is>
          <t>1 PR, COM INFORMAÇÕES DA RPC TV CASCAVEL</t>
        </is>
      </c>
      <c r="H2977" t="inlineStr">
        <is>
          <t>HOMEM QUE ESFAQUEOU HAITIANO NO CENTRO DE CASCAVEL É PRESO</t>
        </is>
      </c>
      <c r="I2977" t="inlineStr"/>
      <c r="J2977">
        <f>HYPERLINK("http://g1.globo.com/pr/oeste-sudoeste/noticia/2014/10/homem-que-esfaqueou-haitiano-no-centro-de-cascavel-e-preso.html", "URL")</f>
        <v/>
      </c>
      <c r="K2977">
        <f>HYPERLINK("https://raw.githubusercontent.com/marcosmapl/dataset_imigrantes/main/noticias_filtered/g1/haitianos/2014/09_out/html/g1_00d84a0e-2308-11ed-b24f-6dbe51e79fca_2358.html", "HTML")</f>
        <v/>
      </c>
      <c r="L2977">
        <f>HYPERLINK("https://raw.githubusercontent.com/marcosmapl/dataset_imigrantes/main/noticias_filtered/g1/haitianos/2014/09_out/txt/g1_00d84a0e-2308-11ed-b24f-6dbe51e79fca_2358.txt", "TXT")</f>
        <v/>
      </c>
    </row>
    <row r="2978">
      <c r="A2978" s="1" t="n">
        <v>2976</v>
      </c>
      <c r="B2978" t="n">
        <v>2014</v>
      </c>
      <c r="C2978" s="2" t="n">
        <v>41938.50902777778</v>
      </c>
      <c r="D2978" t="inlineStr">
        <is>
          <t>G1</t>
        </is>
      </c>
      <c r="E2978" t="inlineStr">
        <is>
          <t>HAITIANOS</t>
        </is>
      </c>
      <c r="F2978" t="inlineStr"/>
      <c r="G2978" t="inlineStr">
        <is>
          <t>RANCE PRESSE</t>
        </is>
      </c>
      <c r="H2978" t="inlineStr">
        <is>
          <t>GOVERNO ADIA ELEIÇÕES MARCADAS PARA ESTE DOMINGO NO HAITI</t>
        </is>
      </c>
      <c r="I2978" t="inlineStr"/>
      <c r="J2978">
        <f>HYPERLINK("http://g1.globo.com/mundo/noticia/2014/10/governo-adia-eleicoes-marcadas-para-este-domingo-no-haiti.html", "URL")</f>
        <v/>
      </c>
      <c r="K2978">
        <f>HYPERLINK("https://raw.githubusercontent.com/marcosmapl/dataset_imigrantes/main/noticias_filtered/g1/haitianos/2014/09_out/html/g1_94088368-231a-11ed-b24f-6dbe51e79fca_3342.html", "HTML")</f>
        <v/>
      </c>
      <c r="L2978">
        <f>HYPERLINK("https://raw.githubusercontent.com/marcosmapl/dataset_imigrantes/main/noticias_filtered/g1/haitianos/2014/09_out/txt/g1_94088368-231a-11ed-b24f-6dbe51e79fca_3342.txt", "TXT")</f>
        <v/>
      </c>
    </row>
    <row r="2979">
      <c r="A2979" s="1" t="n">
        <v>2977</v>
      </c>
      <c r="B2979" t="n">
        <v>2014</v>
      </c>
      <c r="C2979" s="2" t="n">
        <v>41936.64513888889</v>
      </c>
      <c r="D2979" t="inlineStr">
        <is>
          <t>G1</t>
        </is>
      </c>
      <c r="E2979" t="inlineStr">
        <is>
          <t>HAITIANOS</t>
        </is>
      </c>
      <c r="F2979" t="inlineStr"/>
      <c r="G2979" t="inlineStr">
        <is>
          <t>LE ALVES E LEANDRO TAPAJÓSDO G1 AM</t>
        </is>
      </c>
      <c r="H2979" t="inlineStr">
        <is>
          <t>HAITIANOS SONHAM COM FUTURO MELHOR PARA FILHOS NASCIDOS EM MANAUS</t>
        </is>
      </c>
      <c r="I2979" t="inlineStr"/>
      <c r="J2979">
        <f>HYPERLINK("http://g1.globo.com/am/amazonas/manaus-de-todas-as-cores/2014/noticia/2014/10/haitianos-sonham-com-futuro-melhor-para-filhos-nascidos-em-manaus.html", "URL")</f>
        <v/>
      </c>
      <c r="K2979">
        <f>HYPERLINK("https://raw.githubusercontent.com/marcosmapl/dataset_imigrantes/main/noticias_filtered/g1/haitianos/2014/09_out/html/g1_a2d2db68-22f3-11ed-b24f-6dbe51e79fca_1850.html", "HTML")</f>
        <v/>
      </c>
      <c r="L2979">
        <f>HYPERLINK("https://raw.githubusercontent.com/marcosmapl/dataset_imigrantes/main/noticias_filtered/g1/haitianos/2014/09_out/txt/g1_a2d2db68-22f3-11ed-b24f-6dbe51e79fca_1850.txt", "TXT")</f>
        <v/>
      </c>
    </row>
    <row r="2980">
      <c r="A2980" s="1" t="n">
        <v>2978</v>
      </c>
      <c r="B2980" t="n">
        <v>2014</v>
      </c>
      <c r="C2980" s="2" t="n">
        <v>41934.92083333333</v>
      </c>
      <c r="D2980" t="inlineStr">
        <is>
          <t>G1</t>
        </is>
      </c>
      <c r="E2980" t="inlineStr">
        <is>
          <t>HAITIANOS</t>
        </is>
      </c>
      <c r="F2980" t="inlineStr"/>
      <c r="G2980" t="inlineStr">
        <is>
          <t>1 PR</t>
        </is>
      </c>
      <c r="H2980" t="inlineStr">
        <is>
          <t>MPT INVESTIGA DENÚNCIAS DE RACISMO E XENOFOBIA CONTRA HAITIANOS NO PR</t>
        </is>
      </c>
      <c r="I2980" t="inlineStr"/>
      <c r="J2980">
        <f>HYPERLINK("http://g1.globo.com/pr/parana/noticia/2014/10/mpt-investiga-denuncias-de-racismo-e-xenofobia-contra-haitianos-no-pr.html", "URL")</f>
        <v/>
      </c>
      <c r="K2980">
        <f>HYPERLINK("https://raw.githubusercontent.com/marcosmapl/dataset_imigrantes/main/noticias_filtered/g1/haitianos/2014/09_out/html/g1_0fc99156-22f6-11ed-b24f-6dbe51e79fca_1991.html", "HTML")</f>
        <v/>
      </c>
      <c r="L2980">
        <f>HYPERLINK("https://raw.githubusercontent.com/marcosmapl/dataset_imigrantes/main/noticias_filtered/g1/haitianos/2014/09_out/txt/g1_0fc99156-22f6-11ed-b24f-6dbe51e79fca_1991.txt", "TXT")</f>
        <v/>
      </c>
    </row>
    <row r="2981">
      <c r="A2981" s="1" t="n">
        <v>2979</v>
      </c>
      <c r="B2981" t="n">
        <v>2014</v>
      </c>
      <c r="C2981" s="2" t="n">
        <v>41934.62569444445</v>
      </c>
      <c r="D2981" t="inlineStr">
        <is>
          <t>G1</t>
        </is>
      </c>
      <c r="E2981" t="inlineStr">
        <is>
          <t>HAITIANOS</t>
        </is>
      </c>
      <c r="F2981" t="inlineStr"/>
      <c r="G2981" t="inlineStr">
        <is>
          <t>TIBA, PR</t>
        </is>
      </c>
      <c r="H2981" t="inlineStr">
        <is>
          <t>IMIGRANTES HAITIANOS SÃO VÍTIMAS DE PRECONCEITO E XENOFOBIA NO PARANÁ</t>
        </is>
      </c>
      <c r="I2981" t="inlineStr"/>
      <c r="J2981">
        <f>HYPERLINK("http://g1.globo.com/jornal-hoje/noticia/2014/10/imigrantes-haitianos-sao-vitimas-de-preconceito-e-xenofobia-no-parana.html", "URL")</f>
        <v/>
      </c>
      <c r="K2981">
        <f>HYPERLINK("https://raw.githubusercontent.com/marcosmapl/dataset_imigrantes/main/noticias_filtered/g1/haitianos/2014/09_out/html/g1_ab330ec8-22f2-11ed-b24f-6dbe51e79fca_1809.html", "HTML")</f>
        <v/>
      </c>
      <c r="L2981">
        <f>HYPERLINK("https://raw.githubusercontent.com/marcosmapl/dataset_imigrantes/main/noticias_filtered/g1/haitianos/2014/09_out/txt/g1_ab330ec8-22f2-11ed-b24f-6dbe51e79fca_1809.txt", "TXT")</f>
        <v/>
      </c>
    </row>
    <row r="2982">
      <c r="A2982" s="1" t="n">
        <v>2980</v>
      </c>
      <c r="B2982" t="n">
        <v>2014</v>
      </c>
      <c r="C2982" s="2" t="n">
        <v>41932.67569444444</v>
      </c>
      <c r="D2982" t="inlineStr">
        <is>
          <t>G1</t>
        </is>
      </c>
      <c r="E2982" t="inlineStr">
        <is>
          <t>HAITIANOS</t>
        </is>
      </c>
      <c r="F2982" t="inlineStr"/>
      <c r="G2982" t="inlineStr">
        <is>
          <t>1 PR</t>
        </is>
      </c>
      <c r="H2982" t="inlineStr">
        <is>
          <t>HAITIANO É ESFAQUEADO DURANTE ASSALTO EM CASCAVEL, DIZ POLÍCIA</t>
        </is>
      </c>
      <c r="I2982" t="inlineStr"/>
      <c r="J2982">
        <f>HYPERLINK("http://g1.globo.com/pr/oeste-sudoeste/noticia/2014/10/haitiano-e-esfaqueado-durante-assalto-em-cascavel-diz-policia.html", "URL")</f>
        <v/>
      </c>
      <c r="K2982">
        <f>HYPERLINK("https://raw.githubusercontent.com/marcosmapl/dataset_imigrantes/main/noticias_filtered/g1/haitianos/2014/09_out/html/g1_de86e8b6-2307-11ed-b24f-6dbe51e79fca_2348.html", "HTML")</f>
        <v/>
      </c>
      <c r="L2982">
        <f>HYPERLINK("https://raw.githubusercontent.com/marcosmapl/dataset_imigrantes/main/noticias_filtered/g1/haitianos/2014/09_out/txt/g1_de86e8b6-2307-11ed-b24f-6dbe51e79fca_2348.txt", "TXT")</f>
        <v/>
      </c>
    </row>
    <row r="2983">
      <c r="A2983" s="1" t="n">
        <v>2981</v>
      </c>
      <c r="B2983" t="n">
        <v>2014</v>
      </c>
      <c r="C2983" s="2" t="n">
        <v>41926.29166666666</v>
      </c>
      <c r="D2983" t="inlineStr">
        <is>
          <t>G1</t>
        </is>
      </c>
      <c r="E2983" t="inlineStr">
        <is>
          <t>HAITIANOS</t>
        </is>
      </c>
      <c r="F2983" t="inlineStr"/>
      <c r="G2983" t="inlineStr">
        <is>
          <t>CIELE JOHNDO G1 PR, EM  CASCAVEL</t>
        </is>
      </c>
      <c r="H2983" t="inlineStr">
        <is>
          <t>APÓS SUSPEITA DE EBOLA, HAITIANOS ENFRENTAM PRECONCEITO EM CASCAVEL</t>
        </is>
      </c>
      <c r="I2983" t="inlineStr"/>
      <c r="J2983">
        <f>HYPERLINK("http://g1.globo.com/pr/oeste-sudoeste/noticia/2014/10/apos-suspeita-de-ebola-haitianos-enfrentam-preconceito-em-cascavel.html", "URL")</f>
        <v/>
      </c>
      <c r="K2983">
        <f>HYPERLINK("https://raw.githubusercontent.com/marcosmapl/dataset_imigrantes/main/noticias_filtered/g1/haitianos/2014/09_out/html/g1_74088992-22f6-11ed-b24f-6dbe51e79fca_2014.html", "HTML")</f>
        <v/>
      </c>
      <c r="L2983">
        <f>HYPERLINK("https://raw.githubusercontent.com/marcosmapl/dataset_imigrantes/main/noticias_filtered/g1/haitianos/2014/09_out/txt/g1_74088992-22f6-11ed-b24f-6dbe51e79fca_2014.txt", "TXT")</f>
        <v/>
      </c>
    </row>
    <row r="2984">
      <c r="A2984" s="1" t="n">
        <v>2982</v>
      </c>
      <c r="B2984" t="n">
        <v>2014</v>
      </c>
      <c r="C2984" s="2" t="n">
        <v>41921.57916666667</v>
      </c>
      <c r="D2984" t="inlineStr">
        <is>
          <t>G1</t>
        </is>
      </c>
      <c r="E2984" t="inlineStr">
        <is>
          <t>HAITIANOS</t>
        </is>
      </c>
      <c r="F2984" t="inlineStr"/>
      <c r="G2984" t="inlineStr">
        <is>
          <t>1 PIRACICABA E REGIÃO</t>
        </is>
      </c>
      <c r="H2984" t="inlineStr">
        <is>
          <t>HAITIANOS E BRASILEIROS PARAM OBRA
EM ESTÁDIO POR FALTA DE PAGAMENTO</t>
        </is>
      </c>
      <c r="I2984" t="inlineStr"/>
      <c r="J2984">
        <f>HYPERLINK("http://g1.globo.com/sp/piracicaba-regiao/noticia/2014/10/haitianos-e-brasileiros-param-obra-em-estadio-por-falta-de-pagamento.html", "URL")</f>
        <v/>
      </c>
      <c r="K2984">
        <f>HYPERLINK("https://raw.githubusercontent.com/marcosmapl/dataset_imigrantes/main/noticias_filtered/g1/haitianos/2014/09_out/html/g1_ab42db98-22fa-11ed-b24f-6dbe51e79fca_2234.html", "HTML")</f>
        <v/>
      </c>
      <c r="L2984">
        <f>HYPERLINK("https://raw.githubusercontent.com/marcosmapl/dataset_imigrantes/main/noticias_filtered/g1/haitianos/2014/09_out/txt/g1_ab42db98-22fa-11ed-b24f-6dbe51e79fca_2234.txt", "TXT")</f>
        <v/>
      </c>
    </row>
    <row r="2985">
      <c r="A2985" s="1" t="n">
        <v>2983</v>
      </c>
      <c r="B2985" t="n">
        <v>2014</v>
      </c>
      <c r="C2985" s="2" t="n">
        <v>41918.68263888889</v>
      </c>
      <c r="D2985" t="inlineStr">
        <is>
          <t>G1</t>
        </is>
      </c>
      <c r="E2985" t="inlineStr">
        <is>
          <t>HAITIANOS</t>
        </is>
      </c>
      <c r="F2985" t="inlineStr"/>
      <c r="G2985" t="inlineStr">
        <is>
          <t>RANCE PRESSE</t>
        </is>
      </c>
      <c r="H2985" t="inlineStr">
        <is>
          <t>BARCO ENCONTRADO DIANTE DA COSTA HAITIANA NÃO É O DE COLOMBO</t>
        </is>
      </c>
      <c r="I2985" t="inlineStr"/>
      <c r="J2985">
        <f>HYPERLINK("http://g1.globo.com/mundo/noticia/2014/10/barco-encontrado-diante-da-costa-haitiana-nao-e-o-de-colombo.html", "URL")</f>
        <v/>
      </c>
      <c r="K2985">
        <f>HYPERLINK("https://raw.githubusercontent.com/marcosmapl/dataset_imigrantes/main/noticias_filtered/g1/haitianos/2014/09_out/html/g1_58d78e90-2317-11ed-b24f-6dbe51e79fca_3202.html", "HTML")</f>
        <v/>
      </c>
      <c r="L2985">
        <f>HYPERLINK("https://raw.githubusercontent.com/marcosmapl/dataset_imigrantes/main/noticias_filtered/g1/haitianos/2014/09_out/txt/g1_58d78e90-2317-11ed-b24f-6dbe51e79fca_3202.txt", "TXT")</f>
        <v/>
      </c>
    </row>
    <row r="2986">
      <c r="A2986" s="1" t="n">
        <v>2984</v>
      </c>
      <c r="B2986" t="n">
        <v>2014</v>
      </c>
      <c r="C2986" s="2" t="n">
        <v>41916.56388888889</v>
      </c>
      <c r="D2986" t="inlineStr">
        <is>
          <t>G1</t>
        </is>
      </c>
      <c r="E2986" t="inlineStr">
        <is>
          <t>HAITIANOS</t>
        </is>
      </c>
      <c r="F2986" t="inlineStr"/>
      <c r="G2986" t="inlineStr">
        <is>
          <t>1, EM SÃO PAULO</t>
        </is>
      </c>
      <c r="H2986" t="inlineStr">
        <is>
          <t>MORRE O EX-PRESIDENTE DO HAITI JEAN-CLAUDE DUVALIER, O 'BABY DOC'</t>
        </is>
      </c>
      <c r="I2986" t="inlineStr"/>
      <c r="J2986">
        <f>HYPERLINK("http://g1.globo.com/mundo/noticia/2014/10/morre-o-ex-presidente-do-haiti-jean-claude-duvalier.html", "URL")</f>
        <v/>
      </c>
      <c r="K2986">
        <f>HYPERLINK("https://raw.githubusercontent.com/marcosmapl/dataset_imigrantes/main/noticias_filtered/g1/haitianos/2014/09_out/html/g1_35e9e07c-2326-11ed-b24f-6dbe51e79fca_3962.html", "HTML")</f>
        <v/>
      </c>
      <c r="L2986">
        <f>HYPERLINK("https://raw.githubusercontent.com/marcosmapl/dataset_imigrantes/main/noticias_filtered/g1/haitianos/2014/09_out/txt/g1_35e9e07c-2326-11ed-b24f-6dbe51e79fca_3962.txt", "TXT")</f>
        <v/>
      </c>
    </row>
    <row r="2987">
      <c r="A2987" s="1" t="n">
        <v>2985</v>
      </c>
      <c r="B2987" t="n">
        <v>2014</v>
      </c>
      <c r="C2987" s="2" t="n">
        <v>41907.09305555555</v>
      </c>
      <c r="D2987" t="inlineStr">
        <is>
          <t>G1</t>
        </is>
      </c>
      <c r="E2987" t="inlineStr">
        <is>
          <t>HAITIANOS</t>
        </is>
      </c>
      <c r="F2987" t="inlineStr"/>
      <c r="G2987" t="inlineStr">
        <is>
          <t>1, EM SÃO PAULO</t>
        </is>
      </c>
      <c r="H2987" t="inlineStr">
        <is>
          <t>RAIOS 'ILUMINAM' MAR DURANTE TEMPESTADE NO HAITI</t>
        </is>
      </c>
      <c r="I2987" t="inlineStr"/>
      <c r="J2987">
        <f>HYPERLINK("http://g1.globo.com/mundo/noticia/2014/09/raios-iluminam-mar-durante-tempestade-no-haiti.html", "URL")</f>
        <v/>
      </c>
      <c r="K2987">
        <f>HYPERLINK("https://raw.githubusercontent.com/marcosmapl/dataset_imigrantes/main/noticias_filtered/g1/haitianos/2014/08_set/html/g1_9565d524-232b-11ed-b24f-6dbe51e79fca_4257.html", "HTML")</f>
        <v/>
      </c>
      <c r="L2987">
        <f>HYPERLINK("https://raw.githubusercontent.com/marcosmapl/dataset_imigrantes/main/noticias_filtered/g1/haitianos/2014/08_set/txt/g1_9565d524-232b-11ed-b24f-6dbe51e79fca_4257.txt", "TXT")</f>
        <v/>
      </c>
    </row>
    <row r="2988">
      <c r="A2988" s="1" t="n">
        <v>2986</v>
      </c>
      <c r="B2988" t="n">
        <v>2014</v>
      </c>
      <c r="C2988" s="2" t="n">
        <v>41905.29166666666</v>
      </c>
      <c r="D2988" t="inlineStr">
        <is>
          <t>G1</t>
        </is>
      </c>
      <c r="E2988" t="inlineStr">
        <is>
          <t>HAITIANOS</t>
        </is>
      </c>
      <c r="F2988" t="inlineStr"/>
      <c r="G2988" t="inlineStr">
        <is>
          <t>E NASCIMENTODO G1 AC</t>
        </is>
      </c>
      <c r="H2988" t="inlineStr">
        <is>
          <t>COM DOIS EMPREGOS EM SC, HAITIANO VOLTA AO ACRE PARA BUSCAR NAMORADA</t>
        </is>
      </c>
      <c r="I2988" t="inlineStr"/>
      <c r="J2988">
        <f>HYPERLINK("http://g1.globo.com/ac/acre/noticia/2014/09/com-dois-empregos-em-sc-haitiano-volta-ao-acre-para-buscar-namorada.html", "URL")</f>
        <v/>
      </c>
      <c r="K2988">
        <f>HYPERLINK("https://raw.githubusercontent.com/marcosmapl/dataset_imigrantes/main/noticias_filtered/g1/haitianos/2014/08_set/html/g1_ae02cca6-230b-11ed-b24f-6dbe51e79fca_2580.html", "HTML")</f>
        <v/>
      </c>
      <c r="L2988">
        <f>HYPERLINK("https://raw.githubusercontent.com/marcosmapl/dataset_imigrantes/main/noticias_filtered/g1/haitianos/2014/08_set/txt/g1_ae02cca6-230b-11ed-b24f-6dbe51e79fca_2580.txt", "TXT")</f>
        <v/>
      </c>
    </row>
    <row r="2989">
      <c r="A2989" s="1" t="n">
        <v>2987</v>
      </c>
      <c r="B2989" t="n">
        <v>2014</v>
      </c>
      <c r="C2989" s="2" t="n">
        <v>41901.58541666667</v>
      </c>
      <c r="D2989" t="inlineStr">
        <is>
          <t>G1</t>
        </is>
      </c>
      <c r="E2989" t="inlineStr">
        <is>
          <t>HAITIANOS</t>
        </is>
      </c>
      <c r="F2989" t="inlineStr"/>
      <c r="G2989" t="inlineStr">
        <is>
          <t>YANA ARAÚJODO G1 MT</t>
        </is>
      </c>
      <c r="H2989" t="inlineStr">
        <is>
          <t>COM FIM DAS OBRAS DA COPA, CUIABÁ RECEBE MENOS MIGRANTES HAITIANOS</t>
        </is>
      </c>
      <c r="I2989" t="inlineStr"/>
      <c r="J2989">
        <f>HYPERLINK("http://g1.globo.com/mato-grosso/noticia/2014/09/com-fim-das-obras-da-copa-cuiaba-recebe-menos-migrantes-haitianos.html", "URL")</f>
        <v/>
      </c>
      <c r="K2989">
        <f>HYPERLINK("https://raw.githubusercontent.com/marcosmapl/dataset_imigrantes/main/noticias_filtered/g1/haitianos/2014/08_set/html/g1_66046e02-22fa-11ed-b24f-6dbe51e79fca_2217.html", "HTML")</f>
        <v/>
      </c>
      <c r="L2989">
        <f>HYPERLINK("https://raw.githubusercontent.com/marcosmapl/dataset_imigrantes/main/noticias_filtered/g1/haitianos/2014/08_set/txt/g1_66046e02-22fa-11ed-b24f-6dbe51e79fca_2217.txt", "TXT")</f>
        <v/>
      </c>
    </row>
    <row r="2990">
      <c r="A2990" s="1" t="n">
        <v>2988</v>
      </c>
      <c r="B2990" t="n">
        <v>2014</v>
      </c>
      <c r="C2990" s="2" t="n">
        <v>41901.42916666667</v>
      </c>
      <c r="D2990" t="inlineStr">
        <is>
          <t>G1</t>
        </is>
      </c>
      <c r="E2990" t="inlineStr">
        <is>
          <t>HAITIANOS</t>
        </is>
      </c>
      <c r="F2990" t="inlineStr"/>
      <c r="G2990" t="inlineStr">
        <is>
          <t>ICA BALBINODO G1 SUL DE MINAS</t>
        </is>
      </c>
      <c r="H2990" t="inlineStr">
        <is>
          <t>'NO BRASIL EU ME SENTI HUMANO', DIZ HAITIANO QUE VIVE EM ANDRADAS, MG</t>
        </is>
      </c>
      <c r="I2990" t="inlineStr"/>
      <c r="J2990">
        <f>HYPERLINK("http://g1.globo.com/mg/sul-de-minas/noticia/2014/09/no-brasil-eu-me-senti-humano-diz-haitiano-que-vive-em-andradas-mg.html", "URL")</f>
        <v/>
      </c>
      <c r="K2990">
        <f>HYPERLINK("https://raw.githubusercontent.com/marcosmapl/dataset_imigrantes/main/noticias_filtered/g1/haitianos/2014/08_set/html/g1_24fd7f46-231f-11ed-b24f-6dbe51e79fca_3604.html", "HTML")</f>
        <v/>
      </c>
      <c r="L2990">
        <f>HYPERLINK("https://raw.githubusercontent.com/marcosmapl/dataset_imigrantes/main/noticias_filtered/g1/haitianos/2014/08_set/txt/g1_24fd7f46-231f-11ed-b24f-6dbe51e79fca_3604.txt", "TXT")</f>
        <v/>
      </c>
    </row>
    <row r="2991">
      <c r="A2991" s="1" t="n">
        <v>2989</v>
      </c>
      <c r="B2991" t="n">
        <v>2014</v>
      </c>
      <c r="C2991" s="2" t="n">
        <v>41898.25</v>
      </c>
      <c r="D2991" t="inlineStr">
        <is>
          <t>G1</t>
        </is>
      </c>
      <c r="E2991" t="inlineStr">
        <is>
          <t>VENEZUELANOS</t>
        </is>
      </c>
      <c r="F2991" t="inlineStr"/>
      <c r="G2991" t="inlineStr">
        <is>
          <t>SSOCIATED PRESS</t>
        </is>
      </c>
      <c r="H2991" t="inlineStr">
        <is>
          <t>VENEZUELANAS SOFREM COM A ESCASSEZ DE PRÓTESES DE SILICONE</t>
        </is>
      </c>
      <c r="I2991" t="inlineStr"/>
      <c r="J2991">
        <f>HYPERLINK("http://g1.globo.com/mundo/noticia/2014/09/venezuelanas-sofrem-com-escassez-de-proteses-de-silicone.html", "URL")</f>
        <v/>
      </c>
      <c r="K2991">
        <f>HYPERLINK("https://raw.githubusercontent.com/marcosmapl/dataset_imigrantes/main/noticias_filtered/g1/venezuelanos/2014/08_set/html/g1_52458536-2313-11ed-b24f-6dbe51e79fca_3005.html", "HTML")</f>
        <v/>
      </c>
      <c r="L2991">
        <f>HYPERLINK("https://raw.githubusercontent.com/marcosmapl/dataset_imigrantes/main/noticias_filtered/g1/venezuelanos/2014/08_set/txt/g1_52458536-2313-11ed-b24f-6dbe51e79fca_3005.txt", "TXT")</f>
        <v/>
      </c>
    </row>
    <row r="2992">
      <c r="A2992" s="1" t="n">
        <v>2990</v>
      </c>
      <c r="B2992" t="n">
        <v>2014</v>
      </c>
      <c r="C2992" s="2" t="n">
        <v>41897.51041666666</v>
      </c>
      <c r="D2992" t="inlineStr">
        <is>
          <t>G1</t>
        </is>
      </c>
      <c r="E2992" t="inlineStr">
        <is>
          <t>HAITIANOS</t>
        </is>
      </c>
      <c r="F2992" t="inlineStr"/>
      <c r="G2992" t="inlineStr">
        <is>
          <t xml:space="preserve"> MARCEL DO G1 AC</t>
        </is>
      </c>
      <c r="H2992" t="inlineStr">
        <is>
          <t>AFRICANOS SE PASSAM POR HAITIANOS PARA CRUZAR A FRONTEIRA DO ACRE</t>
        </is>
      </c>
      <c r="I2992" t="inlineStr"/>
      <c r="J2992">
        <f>HYPERLINK("http://g1.globo.com/ac/acre/noticia/2014/09/africanos-se-passam-por-haitianos-para-cruzar-fronteira-do-acre.html", "URL")</f>
        <v/>
      </c>
      <c r="K2992">
        <f>HYPERLINK("https://raw.githubusercontent.com/marcosmapl/dataset_imigrantes/main/noticias_filtered/g1/haitianos/2014/08_set/html/g1_18c0a258-22f7-11ed-b24f-6dbe51e79fca_2059.html", "HTML")</f>
        <v/>
      </c>
      <c r="L2992">
        <f>HYPERLINK("https://raw.githubusercontent.com/marcosmapl/dataset_imigrantes/main/noticias_filtered/g1/haitianos/2014/08_set/txt/g1_18c0a258-22f7-11ed-b24f-6dbe51e79fca_2059.txt", "TXT")</f>
        <v/>
      </c>
    </row>
    <row r="2993">
      <c r="A2993" s="1" t="n">
        <v>2991</v>
      </c>
      <c r="B2993" t="n">
        <v>2014</v>
      </c>
      <c r="C2993" s="2" t="n">
        <v>41892.62916666667</v>
      </c>
      <c r="D2993" t="inlineStr">
        <is>
          <t>G1</t>
        </is>
      </c>
      <c r="E2993" t="inlineStr">
        <is>
          <t>HAITIANOS</t>
        </is>
      </c>
      <c r="F2993" t="inlineStr"/>
      <c r="G2993" t="inlineStr">
        <is>
          <t>FP</t>
        </is>
      </c>
      <c r="H2993" t="inlineStr">
        <is>
          <t>EX-PRESIDENTE HAITIANO É COLOCADO EM PRISÃO DOMICILIAR</t>
        </is>
      </c>
      <c r="I2993" t="inlineStr"/>
      <c r="J2993">
        <f>HYPERLINK("http://g1.globo.com/mundo/noticia/2014/09/ex-presidente-haitiano-e-colocado-em-prisao-domiciliar.html", "URL")</f>
        <v/>
      </c>
      <c r="K2993">
        <f>HYPERLINK("https://raw.githubusercontent.com/marcosmapl/dataset_imigrantes/main/noticias_filtered/g1/haitianos/2014/08_set/html/g1_0049c3d2-230e-11ed-b24f-6dbe51e79fca_2715.html", "HTML")</f>
        <v/>
      </c>
      <c r="L2993">
        <f>HYPERLINK("https://raw.githubusercontent.com/marcosmapl/dataset_imigrantes/main/noticias_filtered/g1/haitianos/2014/08_set/txt/g1_0049c3d2-230e-11ed-b24f-6dbe51e79fca_2715.txt", "TXT")</f>
        <v/>
      </c>
    </row>
    <row r="2994">
      <c r="A2994" s="1" t="n">
        <v>2992</v>
      </c>
      <c r="B2994" t="n">
        <v>2014</v>
      </c>
      <c r="C2994" s="2" t="n">
        <v>41876.27083333334</v>
      </c>
      <c r="D2994" t="inlineStr">
        <is>
          <t>G1</t>
        </is>
      </c>
      <c r="E2994" t="inlineStr">
        <is>
          <t>HAITIANOS</t>
        </is>
      </c>
      <c r="F2994" t="inlineStr"/>
      <c r="G2994" t="inlineStr">
        <is>
          <t>1 PR</t>
        </is>
      </c>
      <c r="H2994" t="inlineStr">
        <is>
          <t>CINEMATECA DE CURITIBA MOSTRA FILMES DO CINEASTA HAITIANO RAOUL PECK</t>
        </is>
      </c>
      <c r="I2994" t="inlineStr"/>
      <c r="J2994">
        <f>HYPERLINK("http://g1.globo.com/pr/parana/noticia/2014/08/cinemateca-de-curitiba-mostra-filmes-do-cineasta-haitiano-raoul-peck.html", "URL")</f>
        <v/>
      </c>
      <c r="K2994">
        <f>HYPERLINK("https://raw.githubusercontent.com/marcosmapl/dataset_imigrantes/main/noticias_filtered/g1/haitianos/2014/07_ago/html/g1_79cfa72c-2312-11ed-b24f-6dbe51e79fca_2968.html", "HTML")</f>
        <v/>
      </c>
      <c r="L2994">
        <f>HYPERLINK("https://raw.githubusercontent.com/marcosmapl/dataset_imigrantes/main/noticias_filtered/g1/haitianos/2014/07_ago/txt/g1_79cfa72c-2312-11ed-b24f-6dbe51e79fca_2968.txt", "TXT")</f>
        <v/>
      </c>
    </row>
    <row r="2995">
      <c r="A2995" s="1" t="n">
        <v>2993</v>
      </c>
      <c r="B2995" t="n">
        <v>2014</v>
      </c>
      <c r="C2995" s="2" t="n">
        <v>41873.79027777778</v>
      </c>
      <c r="D2995" t="inlineStr">
        <is>
          <t>G1</t>
        </is>
      </c>
      <c r="E2995" t="inlineStr">
        <is>
          <t>HAITIANOS</t>
        </is>
      </c>
      <c r="F2995" t="inlineStr"/>
      <c r="G2995" t="inlineStr">
        <is>
          <t>1 SÃO PAULO</t>
        </is>
      </c>
      <c r="H2995" t="inlineStr">
        <is>
          <t>HAITIANOS SÃO RESGATADOS EM CONDIÇÕES DE ESCRAVIDÃO EM SP</t>
        </is>
      </c>
      <c r="I2995" t="inlineStr"/>
      <c r="J2995">
        <f>HYPERLINK("http://g1.globo.com/sao-paulo/noticia/2014/08/haitianos-sao-resgatados-em-condicoes-de-escravidao-em-sp.html", "URL")</f>
        <v/>
      </c>
      <c r="K2995">
        <f>HYPERLINK("https://raw.githubusercontent.com/marcosmapl/dataset_imigrantes/main/noticias_filtered/g1/haitianos/2014/07_ago/html/g1_80018f2e-22f5-11ed-b24f-6dbe51e79fca_1954.html", "HTML")</f>
        <v/>
      </c>
      <c r="L2995">
        <f>HYPERLINK("https://raw.githubusercontent.com/marcosmapl/dataset_imigrantes/main/noticias_filtered/g1/haitianos/2014/07_ago/txt/g1_80018f2e-22f5-11ed-b24f-6dbe51e79fca_1954.txt", "TXT")</f>
        <v/>
      </c>
    </row>
    <row r="2996">
      <c r="A2996" s="1" t="n">
        <v>2994</v>
      </c>
      <c r="B2996" t="n">
        <v>2014</v>
      </c>
      <c r="C2996" s="2" t="n">
        <v>41865.10416666666</v>
      </c>
      <c r="D2996" t="inlineStr">
        <is>
          <t>G1</t>
        </is>
      </c>
      <c r="E2996" t="inlineStr">
        <is>
          <t>VENEZUELANOS</t>
        </is>
      </c>
      <c r="F2996" t="inlineStr"/>
      <c r="G2996" t="inlineStr">
        <is>
          <t>FE</t>
        </is>
      </c>
      <c r="H2996" t="inlineStr">
        <is>
          <t>FILHA DE CHÁVEZ SERÁ EMBAIXADORA ALTERNA DA VENEZUELA NA ONU</t>
        </is>
      </c>
      <c r="I2996" t="inlineStr"/>
      <c r="J2996">
        <f>HYPERLINK("http://g1.globo.com/mundo/noticia/2014/08/filha-de-chavez-sera-embaixadora-alterna-da-venezuela-na-onu.html", "URL")</f>
        <v/>
      </c>
      <c r="K2996">
        <f>HYPERLINK("https://raw.githubusercontent.com/marcosmapl/dataset_imigrantes/main/noticias_filtered/g1/venezuelanos/2014/07_ago/html/g1_54b140ec-230b-11ed-b24f-6dbe51e79fca_2558.html", "HTML")</f>
        <v/>
      </c>
      <c r="L2996">
        <f>HYPERLINK("https://raw.githubusercontent.com/marcosmapl/dataset_imigrantes/main/noticias_filtered/g1/venezuelanos/2014/07_ago/txt/g1_54b140ec-230b-11ed-b24f-6dbe51e79fca_2558.txt", "TXT")</f>
        <v/>
      </c>
    </row>
    <row r="2997">
      <c r="A2997" s="1" t="n">
        <v>2995</v>
      </c>
      <c r="B2997" t="n">
        <v>2014</v>
      </c>
      <c r="C2997" s="2" t="n">
        <v>41856.44583333333</v>
      </c>
      <c r="D2997" t="inlineStr">
        <is>
          <t>G1</t>
        </is>
      </c>
      <c r="E2997" t="inlineStr">
        <is>
          <t>HAITIANOS</t>
        </is>
      </c>
      <c r="F2997" t="inlineStr"/>
      <c r="G2997" t="inlineStr">
        <is>
          <t>ANA RIBEIRODO G1 AC</t>
        </is>
      </c>
      <c r="H2997" t="inlineStr">
        <is>
          <t>HAITIANAS DÃO À LUZ NO ACRE PARA TER FILHOS COM CIDADANIA BRASILEIRA</t>
        </is>
      </c>
      <c r="I2997" t="inlineStr"/>
      <c r="J2997">
        <f>HYPERLINK("http://g1.globo.com/ac/acre/noticia/2014/08/haitianas-dao-luz-no-acre-para-ter-filhos-com-cidadania-brasileira.html", "URL")</f>
        <v/>
      </c>
      <c r="K2997">
        <f>HYPERLINK("https://raw.githubusercontent.com/marcosmapl/dataset_imigrantes/main/noticias_filtered/g1/haitianos/2014/07_ago/html/g1_8fcff264-231e-11ed-b24f-6dbe51e79fca_3570.html", "HTML")</f>
        <v/>
      </c>
      <c r="L2997">
        <f>HYPERLINK("https://raw.githubusercontent.com/marcosmapl/dataset_imigrantes/main/noticias_filtered/g1/haitianos/2014/07_ago/txt/g1_8fcff264-231e-11ed-b24f-6dbe51e79fca_3570.txt", "TXT")</f>
        <v/>
      </c>
    </row>
    <row r="2998">
      <c r="A2998" s="1" t="n">
        <v>2996</v>
      </c>
      <c r="B2998" t="n">
        <v>2014</v>
      </c>
      <c r="C2998" s="2" t="n">
        <v>41855.44722222222</v>
      </c>
      <c r="D2998" t="inlineStr">
        <is>
          <t>G1</t>
        </is>
      </c>
      <c r="E2998" t="inlineStr">
        <is>
          <t>HAITIANOS</t>
        </is>
      </c>
      <c r="F2998" t="inlineStr"/>
      <c r="G2998" t="inlineStr"/>
      <c r="H2998" t="inlineStr">
        <is>
          <t>HAITIANAS GRÁVIDAS IMIGRAM PARA O BRASIL PARA TER ATENDIMENTO MÉDICO</t>
        </is>
      </c>
      <c r="I2998" t="inlineStr"/>
      <c r="J2998">
        <f>HYPERLINK("http://g1.globo.com/bom-dia-brasil/noticia/2014/08/haitianas-gravidas-imigram-para-o-brasil-para-ter-atendimento-medico.html", "URL")</f>
        <v/>
      </c>
      <c r="K2998">
        <f>HYPERLINK("https://raw.githubusercontent.com/marcosmapl/dataset_imigrantes/main/noticias_filtered/g1/haitianos/2014/07_ago/html/g1_c62c44c0-22ec-11ed-b24f-6dbe51e79fca_1667.html", "HTML")</f>
        <v/>
      </c>
      <c r="L2998">
        <f>HYPERLINK("https://raw.githubusercontent.com/marcosmapl/dataset_imigrantes/main/noticias_filtered/g1/haitianos/2014/07_ago/txt/g1_c62c44c0-22ec-11ed-b24f-6dbe51e79fca_1667.txt", "TXT")</f>
        <v/>
      </c>
    </row>
    <row r="2999">
      <c r="A2999" s="1" t="n">
        <v>2997</v>
      </c>
      <c r="B2999" t="n">
        <v>2014</v>
      </c>
      <c r="C2999" s="2" t="n">
        <v>41849.53472222222</v>
      </c>
      <c r="D2999" t="inlineStr">
        <is>
          <t>G1</t>
        </is>
      </c>
      <c r="E2999" t="inlineStr">
        <is>
          <t>HAITIANOS</t>
        </is>
      </c>
      <c r="F2999" t="inlineStr"/>
      <c r="G2999" t="inlineStr">
        <is>
          <t>CIELE JOHNDO G1 PR</t>
        </is>
      </c>
      <c r="H2999" t="inlineStr">
        <is>
          <t>PROGRAMA DE RÁDIO FEITO POR HAITIANOS DIVULGA A CULTURA CARIBENHA NO PARANÁ</t>
        </is>
      </c>
      <c r="I2999" t="inlineStr"/>
      <c r="J2999">
        <f>HYPERLINK("http://g1.globo.com/pr/oeste-sudoeste/noticia/2014/07/programa-de-radio-feito-por-haitianos-divulga-cultura-caribenha-no-parana.html", "URL")</f>
        <v/>
      </c>
      <c r="K2999">
        <f>HYPERLINK("https://raw.githubusercontent.com/marcosmapl/dataset_imigrantes/main/noticias_filtered/g1/haitianos/2014/06_jul/html/g1_905dc218-22f8-11ed-b24f-6dbe51e79fca_2143.html", "HTML")</f>
        <v/>
      </c>
      <c r="L2999">
        <f>HYPERLINK("https://raw.githubusercontent.com/marcosmapl/dataset_imigrantes/main/noticias_filtered/g1/haitianos/2014/06_jul/txt/g1_905dc218-22f8-11ed-b24f-6dbe51e79fca_2143.txt", "TXT")</f>
        <v/>
      </c>
    </row>
    <row r="3000">
      <c r="A3000" s="1" t="n">
        <v>2998</v>
      </c>
      <c r="B3000" t="n">
        <v>2014</v>
      </c>
      <c r="C3000" s="2" t="n">
        <v>41848.97222222222</v>
      </c>
      <c r="D3000" t="inlineStr">
        <is>
          <t>G1</t>
        </is>
      </c>
      <c r="E3000" t="inlineStr">
        <is>
          <t>HAITIANOS</t>
        </is>
      </c>
      <c r="F3000" t="inlineStr"/>
      <c r="G3000" t="inlineStr">
        <is>
          <t>1 SC</t>
        </is>
      </c>
      <c r="H3000" t="inlineStr">
        <is>
          <t>REUNIÃO EM CRICIÚMA DEBATE SITUAÇÃO DE IMIGRANTES HAITIANOS E AFRICANOS</t>
        </is>
      </c>
      <c r="I3000" t="inlineStr"/>
      <c r="J3000">
        <f>HYPERLINK("http://g1.globo.com/sc/santa-catarina/noticia/2014/07/reuniao-em-criciuma-debate-situacao-de-imigrantes-haitianos-e-africanos.html", "URL")</f>
        <v/>
      </c>
      <c r="K3000">
        <f>HYPERLINK("https://raw.githubusercontent.com/marcosmapl/dataset_imigrantes/main/noticias_filtered/g1/haitianos/2014/06_jul/html/g1_0ccdfae6-22f6-11ed-b24f-6dbe51e79fca_1990.html", "HTML")</f>
        <v/>
      </c>
      <c r="L3000">
        <f>HYPERLINK("https://raw.githubusercontent.com/marcosmapl/dataset_imigrantes/main/noticias_filtered/g1/haitianos/2014/06_jul/txt/g1_0ccdfae6-22f6-11ed-b24f-6dbe51e79fca_1990.txt", "TXT")</f>
        <v/>
      </c>
    </row>
    <row r="3001">
      <c r="A3001" s="1" t="n">
        <v>2999</v>
      </c>
      <c r="B3001" t="n">
        <v>2014</v>
      </c>
      <c r="C3001" s="2" t="n">
        <v>41837.4125</v>
      </c>
      <c r="D3001" t="inlineStr">
        <is>
          <t>G1</t>
        </is>
      </c>
      <c r="E3001" t="inlineStr">
        <is>
          <t>HAITIANOS</t>
        </is>
      </c>
      <c r="F3001" t="inlineStr"/>
      <c r="G3001" t="inlineStr">
        <is>
          <t>1 MT</t>
        </is>
      </c>
      <c r="H3001" t="inlineStr">
        <is>
          <t>HAITIANAS ENFRENTAM DIFICULDADES PARA ARRUMAR EMPREGO EM CUIABÁ</t>
        </is>
      </c>
      <c r="I3001" t="inlineStr"/>
      <c r="J3001">
        <f>HYPERLINK("http://g1.globo.com/mato-grosso/noticia/2014/07/haitianos-enfrentam-dificuldades-para-arrumar-emprego-em-cuiaba.html", "URL")</f>
        <v/>
      </c>
      <c r="K3001">
        <f>HYPERLINK("https://raw.githubusercontent.com/marcosmapl/dataset_imigrantes/main/noticias_filtered/g1/haitianos/2014/06_jul/html/g1_eb9251fe-22ed-11ed-b24f-6dbe51e79fca_1692.html", "HTML")</f>
        <v/>
      </c>
      <c r="L3001">
        <f>HYPERLINK("https://raw.githubusercontent.com/marcosmapl/dataset_imigrantes/main/noticias_filtered/g1/haitianos/2014/06_jul/txt/g1_eb9251fe-22ed-11ed-b24f-6dbe51e79fca_1692.txt", "TXT")</f>
        <v/>
      </c>
    </row>
    <row r="3002">
      <c r="A3002" s="1" t="n">
        <v>3000</v>
      </c>
      <c r="B3002" t="n">
        <v>2014</v>
      </c>
      <c r="C3002" s="2" t="n">
        <v>41829.43680555555</v>
      </c>
      <c r="D3002" t="inlineStr">
        <is>
          <t>G1</t>
        </is>
      </c>
      <c r="E3002" t="inlineStr">
        <is>
          <t>HAITIANOS</t>
        </is>
      </c>
      <c r="F3002" t="inlineStr"/>
      <c r="G3002" t="inlineStr">
        <is>
          <t>1 ES</t>
        </is>
      </c>
      <c r="H3002" t="inlineStr">
        <is>
          <t>EMPRESA DO ES CONTRATA HAITIANOS PARA REFORÇAR MÃO DE OBRA</t>
        </is>
      </c>
      <c r="I3002" t="inlineStr"/>
      <c r="J3002">
        <f>HYPERLINK("http://g1.globo.com/espirito-santo/noticia/2014/07/empresa-do-es-contrata-haitianos-para-reforcar-mao-de-obra.html", "URL")</f>
        <v/>
      </c>
      <c r="K3002">
        <f>HYPERLINK("https://raw.githubusercontent.com/marcosmapl/dataset_imigrantes/main/noticias_filtered/g1/haitianos/2014/06_jul/html/g1_2fc4615c-22f1-11ed-b24f-6dbe51e79fca_1739.html", "HTML")</f>
        <v/>
      </c>
      <c r="L3002">
        <f>HYPERLINK("https://raw.githubusercontent.com/marcosmapl/dataset_imigrantes/main/noticias_filtered/g1/haitianos/2014/06_jul/txt/g1_2fc4615c-22f1-11ed-b24f-6dbe51e79fca_1739.txt", "TXT")</f>
        <v/>
      </c>
    </row>
    <row r="3003">
      <c r="A3003" s="1" t="n">
        <v>3001</v>
      </c>
      <c r="B3003" t="n">
        <v>2014</v>
      </c>
      <c r="C3003" s="2" t="n">
        <v>41828.35694444444</v>
      </c>
      <c r="D3003" t="inlineStr">
        <is>
          <t>G1</t>
        </is>
      </c>
      <c r="E3003" t="inlineStr">
        <is>
          <t>VENEZUELANOS</t>
        </is>
      </c>
      <c r="F3003" t="inlineStr"/>
      <c r="G3003" t="inlineStr">
        <is>
          <t>IANA OLIVEIRADO G1 RR</t>
        </is>
      </c>
      <c r="H3003" t="inlineStr">
        <is>
          <t>EM RR, DOIS HOMENS SÃO PRESOS COM 1,3 MIL LITROS DE GASOLINA VENEZUELANA</t>
        </is>
      </c>
      <c r="I3003" t="inlineStr"/>
      <c r="J3003">
        <f>HYPERLINK("http://g1.globo.com/rr/roraima/noticia/2014/07/em-rr-dois-homens-sao-presos-com-13-mil-litros-de-gasolina-venezuelana.html", "URL")</f>
        <v/>
      </c>
      <c r="K3003">
        <f>HYPERLINK("https://raw.githubusercontent.com/marcosmapl/dataset_imigrantes/main/noticias_filtered/g1/venezuelanos/2014/06_jul/html/g1_1447bfd4-232b-11ed-b24f-6dbe51e79fca_4220.html", "HTML")</f>
        <v/>
      </c>
      <c r="L3003">
        <f>HYPERLINK("https://raw.githubusercontent.com/marcosmapl/dataset_imigrantes/main/noticias_filtered/g1/venezuelanos/2014/06_jul/txt/g1_1447bfd4-232b-11ed-b24f-6dbe51e79fca_4220.txt", "TXT")</f>
        <v/>
      </c>
    </row>
    <row r="3004">
      <c r="A3004" s="1" t="n">
        <v>3002</v>
      </c>
      <c r="B3004" t="n">
        <v>2014</v>
      </c>
      <c r="C3004" s="2" t="n">
        <v>41825.53402777778</v>
      </c>
      <c r="D3004" t="inlineStr">
        <is>
          <t>G1</t>
        </is>
      </c>
      <c r="E3004" t="inlineStr">
        <is>
          <t>HAITIANOS</t>
        </is>
      </c>
      <c r="F3004" t="inlineStr"/>
      <c r="G3004" t="inlineStr">
        <is>
          <t>1, EM SÃO PAULO</t>
        </is>
      </c>
      <c r="H3004" t="inlineStr">
        <is>
          <t>HAITIANOS ASSISTEM À VITÓRIA DO BRASIL NA COPA COM MILITARES BRASILEIROS</t>
        </is>
      </c>
      <c r="I3004" t="inlineStr"/>
      <c r="J3004">
        <f>HYPERLINK("http://g1.globo.com/mundo/noticia/2014/07/haitianos-assistem-vitoria-do-brasil-na-copa-com-militares-brasileiros.html", "URL")</f>
        <v/>
      </c>
      <c r="K3004">
        <f>HYPERLINK("https://raw.githubusercontent.com/marcosmapl/dataset_imigrantes/main/noticias_filtered/g1/haitianos/2014/06_jul/html/g1_ff3bca34-22f0-11ed-b24f-6dbe51e79fca_1729.html", "HTML")</f>
        <v/>
      </c>
      <c r="L3004">
        <f>HYPERLINK("https://raw.githubusercontent.com/marcosmapl/dataset_imigrantes/main/noticias_filtered/g1/haitianos/2014/06_jul/txt/g1_ff3bca34-22f0-11ed-b24f-6dbe51e79fca_1729.txt", "TXT")</f>
        <v/>
      </c>
    </row>
    <row r="3005">
      <c r="A3005" s="1" t="n">
        <v>3003</v>
      </c>
      <c r="B3005" t="n">
        <v>2014</v>
      </c>
      <c r="C3005" s="2" t="n">
        <v>41817.79577546296</v>
      </c>
      <c r="D3005" t="inlineStr">
        <is>
          <t>A CRITICA</t>
        </is>
      </c>
      <c r="E3005" t="inlineStr">
        <is>
          <t>VENEZUELANOS</t>
        </is>
      </c>
      <c r="F3005" t="inlineStr"/>
      <c r="G3005" t="inlineStr">
        <is>
          <t>VINICIUS LEAL</t>
        </is>
      </c>
      <c r="H3005" t="inlineStr">
        <is>
          <t>TORCEDORES DOS BOIS CAPRICHOSO E GARANTIDO FORMAM FILAS PARA ASSISTIR 49º FESTIVAL DE PARINTINS</t>
        </is>
      </c>
      <c r="I3005" t="inlineStr">
        <is>
          <t>DE VÁRIAS CIDADES DO AMAZONAS, E ALGUNS DE PARINTINS, OS “FÃS” BUSCAM UM BOM ASSENTO NAS ARQUIBANCADAS DO BUMBÓDROMO, ONDE OS BUMBÁS DISPUTAM. SOB SOL E CHUVA, ELES ARRUMAM ESTRATÉGIAS PARA SE ALIMENTAR E UTILIZAR BANHEIROS</t>
        </is>
      </c>
      <c r="J3005">
        <f>HYPERLINK("https://www.acritica.com/torcedores-dos-bois-caprichoso-e-garantido-formam-filas-para-assistir-49-festival-de-parintins-1.145423", "URL")</f>
        <v/>
      </c>
      <c r="K3005">
        <f>HYPERLINK("https://raw.githubusercontent.com/marcosmapl/dataset_imigrantes/main/noticias_filtered/a_critica/venezuelanos/2014/05_jun/html/1.145423_730.html", "HTML")</f>
        <v/>
      </c>
      <c r="L3005">
        <f>HYPERLINK("https://raw.githubusercontent.com/marcosmapl/dataset_imigrantes/main/noticias_filtered/a_critica/venezuelanos/2014/05_jun/txt/1.145423_730.txt", "TXT")</f>
        <v/>
      </c>
    </row>
    <row r="3006">
      <c r="A3006" s="1" t="n">
        <v>3004</v>
      </c>
      <c r="B3006" t="n">
        <v>2014</v>
      </c>
      <c r="C3006" s="2" t="n">
        <v>41816.78319444445</v>
      </c>
      <c r="D3006" t="inlineStr">
        <is>
          <t>A CRITICA</t>
        </is>
      </c>
      <c r="E3006" t="inlineStr">
        <is>
          <t>VENEZUELANOS</t>
        </is>
      </c>
      <c r="F3006" t="inlineStr">
        <is>
          <t>ENTRETENIMENTO</t>
        </is>
      </c>
      <c r="G3006" t="inlineStr">
        <is>
          <t>ACRÍTICA.COM</t>
        </is>
      </c>
      <c r="H3006" t="inlineStr">
        <is>
          <t>MÚSICA AMAZONENSE E RITMOS CUBANOS DÃO O TOM NO SEGUNDO DIA DO IX FESTIVAL AMAZONAS JAZZ</t>
        </is>
      </c>
      <c r="I3006" t="inlineStr">
        <is>
          <t>O SHOW ACONTECE NO TEATRO AMAZONAS, ÀS 19H30 E LOGO EM SEGUIDA O JOVEM BATERISTA CUBANO DAFNIS PRIETO, VENCEDOR DO GRAMMY LATINO EM 2007, SOBE AO PALCO COM UMA FUSÃO DE RITMOS QUE ESTÁ VARRENDO O PLANETA DESDE SUA CHEGADA À NOVA IORQUE EM 1999</t>
        </is>
      </c>
      <c r="J3006">
        <f>HYPERLINK("https://www.acritica.com/entretenimento/musica-amazonense-e-ritmos-cubanos-d-o-o-tom-no-segundo-dia-do-ix-festival-amazonas-jazz-1.143038", "URL")</f>
        <v/>
      </c>
      <c r="K3006">
        <f>HYPERLINK("https://raw.githubusercontent.com/marcosmapl/dataset_imigrantes/main/noticias_filtered/a_critica/venezuelanos/2014/05_jun/html/1.143038_1084.html", "HTML")</f>
        <v/>
      </c>
      <c r="L3006">
        <f>HYPERLINK("https://raw.githubusercontent.com/marcosmapl/dataset_imigrantes/main/noticias_filtered/a_critica/venezuelanos/2014/05_jun/txt/1.143038_1084.txt", "TXT")</f>
        <v/>
      </c>
    </row>
    <row r="3007">
      <c r="A3007" s="1" t="n">
        <v>3005</v>
      </c>
      <c r="B3007" t="n">
        <v>2014</v>
      </c>
      <c r="C3007" s="2" t="n">
        <v>41810.95625</v>
      </c>
      <c r="D3007" t="inlineStr">
        <is>
          <t>G1</t>
        </is>
      </c>
      <c r="E3007" t="inlineStr">
        <is>
          <t>HAITIANOS</t>
        </is>
      </c>
      <c r="F3007" t="inlineStr"/>
      <c r="G3007" t="inlineStr">
        <is>
          <t>ANA RIBEIRODO G1 AC</t>
        </is>
      </c>
      <c r="H3007" t="inlineStr">
        <is>
          <t>APÓS UM ANO NO AC, MENOR HAITIANO SEGUE VIAGEM PARA ENCONTRAR OS PAIS</t>
        </is>
      </c>
      <c r="I3007" t="inlineStr"/>
      <c r="J3007">
        <f>HYPERLINK("http://g1.globo.com/ac/acre/noticia/2014/06/apos-um-ano-no-ac-menor-haitiano-segue-viagem-para-encontrar-os-pais.html", "URL")</f>
        <v/>
      </c>
      <c r="K3007">
        <f>HYPERLINK("https://raw.githubusercontent.com/marcosmapl/dataset_imigrantes/main/noticias_filtered/g1/haitianos/2014/05_jun/html/g1_49ba9656-2311-11ed-b24f-6dbe51e79fca_2909.html", "HTML")</f>
        <v/>
      </c>
      <c r="L3007">
        <f>HYPERLINK("https://raw.githubusercontent.com/marcosmapl/dataset_imigrantes/main/noticias_filtered/g1/haitianos/2014/05_jun/txt/g1_49ba9656-2311-11ed-b24f-6dbe51e79fca_2909.txt", "TXT")</f>
        <v/>
      </c>
    </row>
    <row r="3008">
      <c r="A3008" s="1" t="n">
        <v>3006</v>
      </c>
      <c r="B3008" t="n">
        <v>2014</v>
      </c>
      <c r="C3008" s="2" t="n">
        <v>41810.54178240741</v>
      </c>
      <c r="D3008" t="inlineStr">
        <is>
          <t>A CRITICA</t>
        </is>
      </c>
      <c r="E3008" t="inlineStr">
        <is>
          <t>VENEZUELANOS</t>
        </is>
      </c>
      <c r="F3008" t="inlineStr">
        <is>
          <t>MANAUS</t>
        </is>
      </c>
      <c r="G3008" t="inlineStr">
        <is>
          <t>ROSIENE CARVALHO</t>
        </is>
      </c>
      <c r="H3008" t="inlineStr">
        <is>
          <t>CAMELÔS ESTRANGEIROS ‘INVADEM’ AS CALÇADAS DO CENTRO DE MANAUS</t>
        </is>
      </c>
      <c r="I3008" t="inlineStr">
        <is>
          <t>AS CALÇADAS DA AVENIDA EDUARDO RIBEIRO, DESOCUPADAS HÁ TRÊS MESES PELA PREFEITURA DE MANAUS, VOLTARAM A SER OCUPADAS POR VENDEDORES AMBULANTES ESTRANGEIROS ATRAÍDOS PELA COPA DO MUNDO DE 2014, NA CAPITAL AMAZONENSE</t>
        </is>
      </c>
      <c r="J3008">
        <f>HYPERLINK("https://www.acritica.com/manaus/camelos-estrangeiros-invadem-as-calcadas-do-centro-de-manaus-1.147012", "URL")</f>
        <v/>
      </c>
      <c r="K3008">
        <f>HYPERLINK("https://raw.githubusercontent.com/marcosmapl/dataset_imigrantes/main/noticias_filtered/a_critica/venezuelanos/2014/05_jun/html/1.147012_1202.html", "HTML")</f>
        <v/>
      </c>
      <c r="L3008">
        <f>HYPERLINK("https://raw.githubusercontent.com/marcosmapl/dataset_imigrantes/main/noticias_filtered/a_critica/venezuelanos/2014/05_jun/txt/1.147012_1202.txt", "TXT")</f>
        <v/>
      </c>
    </row>
    <row r="3009">
      <c r="A3009" s="1" t="n">
        <v>3007</v>
      </c>
      <c r="B3009" t="n">
        <v>2014</v>
      </c>
      <c r="C3009" s="2" t="n">
        <v>41809.66458333333</v>
      </c>
      <c r="D3009" t="inlineStr">
        <is>
          <t>G1</t>
        </is>
      </c>
      <c r="E3009" t="inlineStr">
        <is>
          <t>HAITIANOS</t>
        </is>
      </c>
      <c r="F3009" t="inlineStr"/>
      <c r="G3009" t="inlineStr">
        <is>
          <t>1 PA</t>
        </is>
      </c>
      <c r="H3009" t="inlineStr">
        <is>
          <t>CANTOR E COMPOSITOR HAITIANO FAZ SHOW DE JAZZ EM BELÉM</t>
        </is>
      </c>
      <c r="I3009" t="inlineStr"/>
      <c r="J3009">
        <f>HYPERLINK("http://g1.globo.com/pa/para/noticia/2014/06/cantor-e-compositor-haitiano-faz-show-de-jazz-em-belem.html", "URL")</f>
        <v/>
      </c>
      <c r="K3009">
        <f>HYPERLINK("https://raw.githubusercontent.com/marcosmapl/dataset_imigrantes/main/noticias_filtered/g1/haitianos/2014/05_jun/html/g1_260e8b3a-2308-11ed-b24f-6dbe51e79fca_2368.html", "HTML")</f>
        <v/>
      </c>
      <c r="L3009">
        <f>HYPERLINK("https://raw.githubusercontent.com/marcosmapl/dataset_imigrantes/main/noticias_filtered/g1/haitianos/2014/05_jun/txt/g1_260e8b3a-2308-11ed-b24f-6dbe51e79fca_2368.txt", "TXT")</f>
        <v/>
      </c>
    </row>
    <row r="3010">
      <c r="A3010" s="1" t="n">
        <v>3008</v>
      </c>
      <c r="B3010" t="n">
        <v>2014</v>
      </c>
      <c r="C3010" s="2" t="n">
        <v>41808.50392361111</v>
      </c>
      <c r="D3010" t="inlineStr">
        <is>
          <t>A CRITICA</t>
        </is>
      </c>
      <c r="E3010" t="inlineStr">
        <is>
          <t>VENEZUELANOS</t>
        </is>
      </c>
      <c r="F3010" t="inlineStr">
        <is>
          <t>MANAUS</t>
        </is>
      </c>
      <c r="G3010" t="inlineStr">
        <is>
          <t>ACRÍTICA.COM</t>
        </is>
      </c>
      <c r="H3010" t="inlineStr">
        <is>
          <t>VOLUNTÁRIOS VENEZUELANOS E COLOMBIANOS REFORÇAM CAMPANHA CONTRA A EXPLORAÇÃO INFANTO-JUVENIL</t>
        </is>
      </c>
      <c r="I3010" t="inlineStr">
        <is>
          <t>ESTUDANTES UNIVERSITÁRIOS E PROFISSIONAIS LIBERAIS DA REDE EVANGÉLICA NACIONAL DE AÇÃO SOCIAL (RENAS) ESTÃO AJUDANDO A LEVAR INFORMAÇÕES A TURISTAS DE LÍNGUA ESPANHOLA CONTRA EXPLORAÇÃO DE CRIANÇAS E ADOLESCENTES</t>
        </is>
      </c>
      <c r="J3010">
        <f>HYPERLINK("https://www.acritica.com/manaus/voluntarios-venezuelanos-e-colombianos-reforcam-campanha-contra-a-explorac-o-infanto-juvenil-1.146957", "URL")</f>
        <v/>
      </c>
      <c r="K3010">
        <f>HYPERLINK("https://raw.githubusercontent.com/marcosmapl/dataset_imigrantes/main/noticias_filtered/a_critica/venezuelanos/2014/05_jun/html/1.146957_699.html", "HTML")</f>
        <v/>
      </c>
      <c r="L3010">
        <f>HYPERLINK("https://raw.githubusercontent.com/marcosmapl/dataset_imigrantes/main/noticias_filtered/a_critica/venezuelanos/2014/05_jun/txt/1.146957_699.txt", "TXT")</f>
        <v/>
      </c>
    </row>
    <row r="3011">
      <c r="A3011" s="1" t="n">
        <v>3009</v>
      </c>
      <c r="B3011" t="n">
        <v>2014</v>
      </c>
      <c r="C3011" s="2" t="n">
        <v>41807.85277777778</v>
      </c>
      <c r="D3011" t="inlineStr">
        <is>
          <t>G1</t>
        </is>
      </c>
      <c r="E3011" t="inlineStr">
        <is>
          <t>HAITIANOS</t>
        </is>
      </c>
      <c r="F3011" t="inlineStr"/>
      <c r="G3011" t="inlineStr">
        <is>
          <t>SA NATANIDO G1 ACRE</t>
        </is>
      </c>
      <c r="H3011" t="inlineStr">
        <is>
          <t>NO AC, TORCIDA HAITIANA IMPROVISA 'MIX' DE BANDEIRAS DE HAITI E BRASIL</t>
        </is>
      </c>
      <c r="I3011" t="inlineStr"/>
      <c r="J3011">
        <f>HYPERLINK("http://g1.globo.com/ac/acre/noticia/2014/06/no-ac-torcida-haitiana-improvisa-mix-de-bandeiras-de-haiti-e-brasil.html", "URL")</f>
        <v/>
      </c>
      <c r="K3011">
        <f>HYPERLINK("https://raw.githubusercontent.com/marcosmapl/dataset_imigrantes/main/noticias_filtered/g1/haitianos/2014/05_jun/html/g1_e5b92324-2325-11ed-b24f-6dbe51e79fca_3941.html", "HTML")</f>
        <v/>
      </c>
      <c r="L3011">
        <f>HYPERLINK("https://raw.githubusercontent.com/marcosmapl/dataset_imigrantes/main/noticias_filtered/g1/haitianos/2014/05_jun/txt/g1_e5b92324-2325-11ed-b24f-6dbe51e79fca_3941.txt", "TXT")</f>
        <v/>
      </c>
    </row>
    <row r="3012">
      <c r="A3012" s="1" t="n">
        <v>3010</v>
      </c>
      <c r="B3012" t="n">
        <v>2014</v>
      </c>
      <c r="C3012" s="2" t="n">
        <v>41804.64771990741</v>
      </c>
      <c r="D3012" t="inlineStr">
        <is>
          <t>A CRITICA</t>
        </is>
      </c>
      <c r="E3012" t="inlineStr">
        <is>
          <t>VENEZUELANOS</t>
        </is>
      </c>
      <c r="F3012" t="inlineStr">
        <is>
          <t>MANAUS</t>
        </is>
      </c>
      <c r="G3012" t="inlineStr">
        <is>
          <t>PERLA SOARES</t>
        </is>
      </c>
      <c r="H3012" t="inlineStr">
        <is>
          <t>ENCHENTE NO CENTRO É PONTO TURÍSTICO PARA ESTRANGEIROS</t>
        </is>
      </c>
      <c r="I3012" t="inlineStr">
        <is>
          <t>SUBIDA DAS ÁGUAS NO CENTRO DA CIDADE VIROU MAIS UM ‘ATRATIVO’ PARA QUEM VEIO ASSISTIR AOS JOGOS DA COPA DO MUNDO FIFA</t>
        </is>
      </c>
      <c r="J3012">
        <f>HYPERLINK("https://www.acritica.com/manaus/enchente-no-centro-e-ponto-turistico-para-estrangeiros-1.156761", "URL")</f>
        <v/>
      </c>
      <c r="K3012">
        <f>HYPERLINK("https://raw.githubusercontent.com/marcosmapl/dataset_imigrantes/main/noticias_filtered/a_critica/venezuelanos/2014/05_jun/html/1.156761_436.html", "HTML")</f>
        <v/>
      </c>
      <c r="L3012">
        <f>HYPERLINK("https://raw.githubusercontent.com/marcosmapl/dataset_imigrantes/main/noticias_filtered/a_critica/venezuelanos/2014/05_jun/txt/1.156761_436.txt", "TXT")</f>
        <v/>
      </c>
    </row>
    <row r="3013">
      <c r="A3013" s="1" t="n">
        <v>3011</v>
      </c>
      <c r="B3013" t="n">
        <v>2014</v>
      </c>
      <c r="C3013" s="2" t="n">
        <v>41802.64917824074</v>
      </c>
      <c r="D3013" t="inlineStr">
        <is>
          <t>A CRITICA</t>
        </is>
      </c>
      <c r="E3013" t="inlineStr">
        <is>
          <t>VENEZUELANOS</t>
        </is>
      </c>
      <c r="F3013" t="inlineStr">
        <is>
          <t>ESPORTES</t>
        </is>
      </c>
      <c r="G3013" t="inlineStr">
        <is>
          <t>LEANDERSON LIMA</t>
        </is>
      </c>
      <c r="H3013" t="inlineStr">
        <is>
          <t>EM COLETIVA, FELIPÃO DIZ QUE A SELEÇÃO VAI 'SUBIR UM DEGRAU POR VEZ'</t>
        </is>
      </c>
      <c r="I3013" t="inlineStr">
        <is>
          <t>SOBRE TENSÃO EM JOGO DE ESTREIA DO DA SELEÇÃO CANARINHO NA COPA, QUE OCORRE NESTA QUINTA-FEIRA (12), FELIPÃO DISSE ESTAR TRANQUILO E DORMINDO BEM, DURANTE ENTREVISTA COLETIVA NESTA QUARTA. NEYMAR TAMBÉM DISSE QUE NÃO VAI PERDER A TRANQUILIDADE</t>
        </is>
      </c>
      <c r="J3013">
        <f>HYPERLINK("https://www.acritica.com/esportes/em-coletiva-felip-o-diz-que-a-selec-o-vai-subir-um-degrau-por-vez-1.146083", "URL")</f>
        <v/>
      </c>
      <c r="K3013">
        <f>HYPERLINK("https://raw.githubusercontent.com/marcosmapl/dataset_imigrantes/main/noticias_filtered/a_critica/venezuelanos/2014/05_jun/html/1.146083_226.html", "HTML")</f>
        <v/>
      </c>
      <c r="L3013">
        <f>HYPERLINK("https://raw.githubusercontent.com/marcosmapl/dataset_imigrantes/main/noticias_filtered/a_critica/venezuelanos/2014/05_jun/txt/1.146083_226.txt", "TXT")</f>
        <v/>
      </c>
    </row>
    <row r="3014">
      <c r="A3014" s="1" t="n">
        <v>3012</v>
      </c>
      <c r="B3014" t="n">
        <v>2014</v>
      </c>
      <c r="C3014" s="2" t="n">
        <v>41801.74027777778</v>
      </c>
      <c r="D3014" t="inlineStr">
        <is>
          <t>G1</t>
        </is>
      </c>
      <c r="E3014" t="inlineStr">
        <is>
          <t>VENEZUELANOS</t>
        </is>
      </c>
      <c r="F3014" t="inlineStr"/>
      <c r="G3014" t="inlineStr">
        <is>
          <t>FE</t>
        </is>
      </c>
      <c r="H3014" t="inlineStr">
        <is>
          <t>PROCURADORIA VENEZUELANA SOLICITA CAPTURA DE TRÊS OPOSITORES</t>
        </is>
      </c>
      <c r="I3014" t="inlineStr"/>
      <c r="J3014">
        <f>HYPERLINK("http://g1.globo.com/mundo/noticia/2014/06/procuradoria-venezuelana-solicita-captura-de-tres-opositores.html", "URL")</f>
        <v/>
      </c>
      <c r="K3014">
        <f>HYPERLINK("https://raw.githubusercontent.com/marcosmapl/dataset_imigrantes/main/noticias_filtered/g1/venezuelanos/2014/05_jun/html/g1_ffc29328-2306-11ed-b24f-6dbe51e79fca_2290.html", "HTML")</f>
        <v/>
      </c>
      <c r="L3014">
        <f>HYPERLINK("https://raw.githubusercontent.com/marcosmapl/dataset_imigrantes/main/noticias_filtered/g1/venezuelanos/2014/05_jun/txt/g1_ffc29328-2306-11ed-b24f-6dbe51e79fca_2290.txt", "TXT")</f>
        <v/>
      </c>
    </row>
    <row r="3015">
      <c r="A3015" s="1" t="n">
        <v>3013</v>
      </c>
      <c r="B3015" t="n">
        <v>2014</v>
      </c>
      <c r="C3015" s="2" t="n">
        <v>41801.66657407407</v>
      </c>
      <c r="D3015" t="inlineStr">
        <is>
          <t>A CRITICA</t>
        </is>
      </c>
      <c r="E3015" t="inlineStr">
        <is>
          <t>VENEZUELANOS</t>
        </is>
      </c>
      <c r="F3015" t="inlineStr">
        <is>
          <t>ESPORTES</t>
        </is>
      </c>
      <c r="G3015" t="inlineStr">
        <is>
          <t>LEANDERSON LIMA</t>
        </is>
      </c>
      <c r="H3015" t="inlineStr">
        <is>
          <t>TORCEDORES DE TODOS OS CANTOS DO MUNDO ESPERAM A SELEÇÃO BRASILEIRA EM SÃO PAULO</t>
        </is>
      </c>
      <c r="I3015" t="inlineStr">
        <is>
          <t>TEM GENTE DE PORTUGAL, HONDURAS, COLÔMBIA E ATÉ TORCEDORES DE PAÍSES QUE NÃO SE CLASSIFICARAM PARA A COPA DO MUNDO, COMO É O CASO DA TORCIDA VENEZUELANA QUE VEIO EM PESO</t>
        </is>
      </c>
      <c r="J3015">
        <f>HYPERLINK("https://www.acritica.com/esportes/torcedores-de-todos-os-cantos-do-mundo-esperam-a-selec-o-brasileira-em-s-o-paulo-1.146107", "URL")</f>
        <v/>
      </c>
      <c r="K3015">
        <f>HYPERLINK("https://raw.githubusercontent.com/marcosmapl/dataset_imigrantes/main/noticias_filtered/a_critica/venezuelanos/2014/05_jun/html/1.146107_411.html", "HTML")</f>
        <v/>
      </c>
      <c r="L3015">
        <f>HYPERLINK("https://raw.githubusercontent.com/marcosmapl/dataset_imigrantes/main/noticias_filtered/a_critica/venezuelanos/2014/05_jun/txt/1.146107_411.txt", "TXT")</f>
        <v/>
      </c>
    </row>
    <row r="3016">
      <c r="A3016" s="1" t="n">
        <v>3014</v>
      </c>
      <c r="B3016" t="n">
        <v>2014</v>
      </c>
      <c r="C3016" s="2" t="n">
        <v>41797.71388888889</v>
      </c>
      <c r="D3016" t="inlineStr">
        <is>
          <t>G1</t>
        </is>
      </c>
      <c r="E3016" t="inlineStr">
        <is>
          <t>HAITIANOS</t>
        </is>
      </c>
      <c r="F3016" t="inlineStr"/>
      <c r="G3016" t="inlineStr">
        <is>
          <t xml:space="preserve"> FULGÊNCIODO G1 AC</t>
        </is>
      </c>
      <c r="H3016" t="inlineStr">
        <is>
          <t>APÓS UM ANO EM ABRIGO NO AC, JOVEM HAITIANO CONSEGUE VISTO FRANCÊS</t>
        </is>
      </c>
      <c r="I3016" t="inlineStr"/>
      <c r="J3016">
        <f>HYPERLINK("http://g1.globo.com/ac/acre/noticia/2014/06/apos-um-ano-em-abrigo-no-ac-jovem-haitiano-consegue-visto-frances.html", "URL")</f>
        <v/>
      </c>
      <c r="K3016">
        <f>HYPERLINK("https://raw.githubusercontent.com/marcosmapl/dataset_imigrantes/main/noticias_filtered/g1/haitianos/2014/05_jun/html/g1_26ffcffc-231e-11ed-b24f-6dbe51e79fca_3544.html", "HTML")</f>
        <v/>
      </c>
      <c r="L3016">
        <f>HYPERLINK("https://raw.githubusercontent.com/marcosmapl/dataset_imigrantes/main/noticias_filtered/g1/haitianos/2014/05_jun/txt/g1_26ffcffc-231e-11ed-b24f-6dbe51e79fca_3544.txt", "TXT")</f>
        <v/>
      </c>
    </row>
    <row r="3017">
      <c r="A3017" s="1" t="n">
        <v>3015</v>
      </c>
      <c r="B3017" t="n">
        <v>2014</v>
      </c>
      <c r="C3017" s="2" t="n">
        <v>41794.84722222222</v>
      </c>
      <c r="D3017" t="inlineStr">
        <is>
          <t>G1</t>
        </is>
      </c>
      <c r="E3017" t="inlineStr">
        <is>
          <t>HAITIANOS</t>
        </is>
      </c>
      <c r="F3017" t="inlineStr"/>
      <c r="G3017" t="inlineStr">
        <is>
          <t>ELLE ZAMPOLLO / PAULO CASTILHO</t>
        </is>
      </c>
      <c r="H3017" t="inlineStr">
        <is>
          <t>REPÓRTER MOSTRA HAITIANOS CHEGANDO AO ABRIGO DE IMIGRANTES EM SÃO PAULO</t>
        </is>
      </c>
      <c r="I3017" t="inlineStr"/>
      <c r="J3017">
        <f>HYPERLINK("http://g1.globo.com/profissao-reporter/noticia/2014/06/reporter-mostra-haitianos-chegando-ao-abrigo-de-imigrantes-em-sp.html", "URL")</f>
        <v/>
      </c>
      <c r="K3017">
        <f>HYPERLINK("https://raw.githubusercontent.com/marcosmapl/dataset_imigrantes/main/noticias_filtered/g1/haitianos/2014/05_jun/html/g1_26e692e8-22f2-11ed-b24f-6dbe51e79fca_1781.html", "HTML")</f>
        <v/>
      </c>
      <c r="L3017">
        <f>HYPERLINK("https://raw.githubusercontent.com/marcosmapl/dataset_imigrantes/main/noticias_filtered/g1/haitianos/2014/05_jun/txt/g1_26e692e8-22f2-11ed-b24f-6dbe51e79fca_1781.txt", "TXT")</f>
        <v/>
      </c>
    </row>
    <row r="3018">
      <c r="A3018" s="1" t="n">
        <v>3016</v>
      </c>
      <c r="B3018" t="n">
        <v>2014</v>
      </c>
      <c r="C3018" s="2" t="n">
        <v>41793.48958333334</v>
      </c>
      <c r="D3018" t="inlineStr">
        <is>
          <t>G1</t>
        </is>
      </c>
      <c r="E3018" t="inlineStr">
        <is>
          <t>HAITIANOS</t>
        </is>
      </c>
      <c r="F3018" t="inlineStr"/>
      <c r="G3018" t="inlineStr">
        <is>
          <t>SA NATANI E VERIANA RIBEIRODO G1 ACRE</t>
        </is>
      </c>
      <c r="H3018" t="inlineStr">
        <is>
          <t>GRÁVIDA DE 7 MESES, HAITIANA ESPERA POR MARIDO NO AC</t>
        </is>
      </c>
      <c r="I3018" t="inlineStr"/>
      <c r="J3018">
        <f>HYPERLINK("http://g1.globo.com/ac/acre/noticia/2014/06/gravida-de-7-meses-haitiana-espera-por-marido-no-ac.html", "URL")</f>
        <v/>
      </c>
      <c r="K3018">
        <f>HYPERLINK("https://raw.githubusercontent.com/marcosmapl/dataset_imigrantes/main/noticias_filtered/g1/haitianos/2014/05_jun/html/g1_5970109e-231b-11ed-b24f-6dbe51e79fca_3380.html", "HTML")</f>
        <v/>
      </c>
      <c r="L3018">
        <f>HYPERLINK("https://raw.githubusercontent.com/marcosmapl/dataset_imigrantes/main/noticias_filtered/g1/haitianos/2014/05_jun/txt/g1_5970109e-231b-11ed-b24f-6dbe51e79fca_3380.txt", "TXT")</f>
        <v/>
      </c>
    </row>
    <row r="3019">
      <c r="A3019" s="1" t="n">
        <v>3017</v>
      </c>
      <c r="B3019" t="n">
        <v>2014</v>
      </c>
      <c r="C3019" s="2" t="n">
        <v>41788.62708333333</v>
      </c>
      <c r="D3019" t="inlineStr">
        <is>
          <t>G1</t>
        </is>
      </c>
      <c r="E3019" t="inlineStr">
        <is>
          <t>HAITIANOS</t>
        </is>
      </c>
      <c r="F3019" t="inlineStr"/>
      <c r="G3019" t="inlineStr">
        <is>
          <t>1 MT</t>
        </is>
      </c>
      <c r="H3019" t="inlineStr">
        <is>
          <t>CERCA DE 90 IMIGRANTES HAITIANOS QUE VIVEM EM CUIABÁ SÃO ALFABETIZADOS</t>
        </is>
      </c>
      <c r="I3019" t="inlineStr"/>
      <c r="J3019">
        <f>HYPERLINK("http://g1.globo.com/mato-grosso/noticia/2014/05/cerca-de-90-imigrantes-haitianos-que-vivem-em-cuiaba-sao-alfabetizados.html", "URL")</f>
        <v/>
      </c>
      <c r="K3019">
        <f>HYPERLINK("https://raw.githubusercontent.com/marcosmapl/dataset_imigrantes/main/noticias_filtered/g1/haitianos/2014/04_mai/html/g1_4a1fde54-22f7-11ed-b24f-6dbe51e79fca_2069.html", "HTML")</f>
        <v/>
      </c>
      <c r="L3019">
        <f>HYPERLINK("https://raw.githubusercontent.com/marcosmapl/dataset_imigrantes/main/noticias_filtered/g1/haitianos/2014/04_mai/txt/g1_4a1fde54-22f7-11ed-b24f-6dbe51e79fca_2069.txt", "TXT")</f>
        <v/>
      </c>
    </row>
    <row r="3020">
      <c r="A3020" s="1" t="n">
        <v>3018</v>
      </c>
      <c r="B3020" t="n">
        <v>2014</v>
      </c>
      <c r="C3020" s="2" t="n">
        <v>41787.84097222222</v>
      </c>
      <c r="D3020" t="inlineStr">
        <is>
          <t>G1</t>
        </is>
      </c>
      <c r="E3020" t="inlineStr">
        <is>
          <t>VENEZUELANOS</t>
        </is>
      </c>
      <c r="F3020" t="inlineStr"/>
      <c r="G3020" t="inlineStr">
        <is>
          <t>FP</t>
        </is>
      </c>
      <c r="H3020" t="inlineStr">
        <is>
          <t>DEPUTADOS DOS EUA APROVAM SANÇÕES A AUTORIDADES VENEZUELANAS</t>
        </is>
      </c>
      <c r="I3020" t="inlineStr"/>
      <c r="J3020">
        <f>HYPERLINK("http://g1.globo.com/mundo/noticia/2014/05/deputados-dos-eua-aprovam-sancoes-autoridades-venezuelanas.html", "URL")</f>
        <v/>
      </c>
      <c r="K3020">
        <f>HYPERLINK("https://raw.githubusercontent.com/marcosmapl/dataset_imigrantes/main/noticias_filtered/g1/venezuelanos/2014/04_mai/html/g1_0652eea2-2313-11ed-b24f-6dbe51e79fca_2988.html", "HTML")</f>
        <v/>
      </c>
      <c r="L3020">
        <f>HYPERLINK("https://raw.githubusercontent.com/marcosmapl/dataset_imigrantes/main/noticias_filtered/g1/venezuelanos/2014/04_mai/txt/g1_0652eea2-2313-11ed-b24f-6dbe51e79fca_2988.txt", "TXT")</f>
        <v/>
      </c>
    </row>
    <row r="3021">
      <c r="A3021" s="1" t="n">
        <v>3019</v>
      </c>
      <c r="B3021" t="n">
        <v>2014</v>
      </c>
      <c r="C3021" s="2" t="n">
        <v>41785.46111111111</v>
      </c>
      <c r="D3021" t="inlineStr">
        <is>
          <t>G1</t>
        </is>
      </c>
      <c r="E3021" t="inlineStr">
        <is>
          <t>HAITIANOS</t>
        </is>
      </c>
      <c r="F3021" t="inlineStr"/>
      <c r="G3021" t="inlineStr">
        <is>
          <t>ANA JUSTIDO G1 PR</t>
        </is>
      </c>
      <c r="H3021" t="inlineStr">
        <is>
          <t>ÀS VÉSPERAS DA COPA, HAITIANO LARGA TUDO PARA GANHAR A VIDA COMO CATADOR</t>
        </is>
      </c>
      <c r="I3021" t="inlineStr"/>
      <c r="J3021">
        <f>HYPERLINK("http://g1.globo.com/pr/parana/noticia/2014/05/vesperas-da-copa-haitiano-larga-tudo-para-ganhar-vida-como-catador.html", "URL")</f>
        <v/>
      </c>
      <c r="K3021">
        <f>HYPERLINK("https://raw.githubusercontent.com/marcosmapl/dataset_imigrantes/main/noticias_filtered/g1/haitianos/2014/04_mai/html/g1_88fb078e-2306-11ed-b24f-6dbe51e79fca_2264.html", "HTML")</f>
        <v/>
      </c>
      <c r="L3021">
        <f>HYPERLINK("https://raw.githubusercontent.com/marcosmapl/dataset_imigrantes/main/noticias_filtered/g1/haitianos/2014/04_mai/txt/g1_88fb078e-2306-11ed-b24f-6dbe51e79fca_2264.txt", "TXT")</f>
        <v/>
      </c>
    </row>
    <row r="3022">
      <c r="A3022" s="1" t="n">
        <v>3020</v>
      </c>
      <c r="B3022" t="n">
        <v>2014</v>
      </c>
      <c r="C3022" s="2" t="n">
        <v>41781.64930555555</v>
      </c>
      <c r="D3022" t="inlineStr">
        <is>
          <t>G1</t>
        </is>
      </c>
      <c r="E3022" t="inlineStr">
        <is>
          <t>VENEZUELANOS</t>
        </is>
      </c>
      <c r="F3022" t="inlineStr"/>
      <c r="G3022" t="inlineStr">
        <is>
          <t>FP</t>
        </is>
      </c>
      <c r="H3022" t="inlineStr">
        <is>
          <t>UNIVERSIDADES VENEZUELANAS PARAM 24H PARA PEDIR LIBERDADE DE ESTUDANTES</t>
        </is>
      </c>
      <c r="I3022" t="inlineStr"/>
      <c r="J3022">
        <f>HYPERLINK("http://g1.globo.com/mundo/noticia/2014/05/universidades-venezuelanas-param-24h-para-pedir-liberdade-de-estudantes.html", "URL")</f>
        <v/>
      </c>
      <c r="K3022">
        <f>HYPERLINK("https://raw.githubusercontent.com/marcosmapl/dataset_imigrantes/main/noticias_filtered/g1/venezuelanos/2014/04_mai/html/g1_7b158f44-2325-11ed-b24f-6dbe51e79fca_3916.html", "HTML")</f>
        <v/>
      </c>
      <c r="L3022">
        <f>HYPERLINK("https://raw.githubusercontent.com/marcosmapl/dataset_imigrantes/main/noticias_filtered/g1/venezuelanos/2014/04_mai/txt/g1_7b158f44-2325-11ed-b24f-6dbe51e79fca_3916.txt", "TXT")</f>
        <v/>
      </c>
    </row>
    <row r="3023">
      <c r="A3023" s="1" t="n">
        <v>3021</v>
      </c>
      <c r="B3023" t="n">
        <v>2014</v>
      </c>
      <c r="C3023" s="2" t="n">
        <v>41779.42083333333</v>
      </c>
      <c r="D3023" t="inlineStr">
        <is>
          <t>G1</t>
        </is>
      </c>
      <c r="E3023" t="inlineStr">
        <is>
          <t>HAITIANOS</t>
        </is>
      </c>
      <c r="F3023" t="inlineStr"/>
      <c r="G3023" t="inlineStr">
        <is>
          <t>1 BA, COM INFORMAÇÕES DA TV SANTA CRUZ</t>
        </is>
      </c>
      <c r="H3023" t="inlineStr">
        <is>
          <t>MPT APURA TRABALHO DE TRÊS HAITIANOS REFUGIADOS QUE SUMIRAM DE FAZENDA</t>
        </is>
      </c>
      <c r="I3023" t="inlineStr"/>
      <c r="J3023">
        <f>HYPERLINK("http://g1.globo.com/bahia/noticia/2014/05/mpt-apura-trabalho-de-tres-haitianos-refugiados-que-sumiram-de-fazenda.html", "URL")</f>
        <v/>
      </c>
      <c r="K3023">
        <f>HYPERLINK("https://raw.githubusercontent.com/marcosmapl/dataset_imigrantes/main/noticias_filtered/g1/haitianos/2014/04_mai/html/g1_83a423a8-22f5-11ed-b24f-6dbe51e79fca_1955.html", "HTML")</f>
        <v/>
      </c>
      <c r="L3023">
        <f>HYPERLINK("https://raw.githubusercontent.com/marcosmapl/dataset_imigrantes/main/noticias_filtered/g1/haitianos/2014/04_mai/txt/g1_83a423a8-22f5-11ed-b24f-6dbe51e79fca_1955.txt", "TXT")</f>
        <v/>
      </c>
    </row>
    <row r="3024">
      <c r="A3024" s="1" t="n">
        <v>3022</v>
      </c>
      <c r="B3024" t="n">
        <v>2014</v>
      </c>
      <c r="C3024" s="2" t="n">
        <v>41778.95069444444</v>
      </c>
      <c r="D3024" t="inlineStr">
        <is>
          <t>G1</t>
        </is>
      </c>
      <c r="E3024" t="inlineStr">
        <is>
          <t>HAITIANOS</t>
        </is>
      </c>
      <c r="F3024" t="inlineStr"/>
      <c r="G3024" t="inlineStr">
        <is>
          <t>1 SC</t>
        </is>
      </c>
      <c r="H3024" t="inlineStr">
        <is>
          <t>POLICIAIS HAITIANOS FINALIZAM TREINAMENTO EM FLORIANÓPOLIS</t>
        </is>
      </c>
      <c r="I3024" t="inlineStr"/>
      <c r="J3024">
        <f>HYPERLINK("http://g1.globo.com/sc/santa-catarina/noticia/2014/05/policiais-haitianos-finalizam-treinamento-em-florianopolis.html", "URL")</f>
        <v/>
      </c>
      <c r="K3024">
        <f>HYPERLINK("https://raw.githubusercontent.com/marcosmapl/dataset_imigrantes/main/noticias_filtered/g1/haitianos/2014/04_mai/html/g1_92a86be2-22f6-11ed-b24f-6dbe51e79fca_2021.html", "HTML")</f>
        <v/>
      </c>
      <c r="L3024">
        <f>HYPERLINK("https://raw.githubusercontent.com/marcosmapl/dataset_imigrantes/main/noticias_filtered/g1/haitianos/2014/04_mai/txt/g1_92a86be2-22f6-11ed-b24f-6dbe51e79fca_2021.txt", "TXT")</f>
        <v/>
      </c>
    </row>
    <row r="3025">
      <c r="A3025" s="1" t="n">
        <v>3023</v>
      </c>
      <c r="B3025" t="n">
        <v>2014</v>
      </c>
      <c r="C3025" s="2" t="n">
        <v>41774.88125</v>
      </c>
      <c r="D3025" t="inlineStr">
        <is>
          <t>G1</t>
        </is>
      </c>
      <c r="E3025" t="inlineStr">
        <is>
          <t>HAITIANOS</t>
        </is>
      </c>
      <c r="F3025" t="inlineStr"/>
      <c r="G3025" t="inlineStr">
        <is>
          <t>1  SUL DE MINAS</t>
        </is>
      </c>
      <c r="H3025" t="inlineStr">
        <is>
          <t>ESTABILIDADE FINANCEIRA ATRAI HAITIANOS A TENTAR RECOMEÇO EM ANDRADAS, MG</t>
        </is>
      </c>
      <c r="I3025" t="inlineStr"/>
      <c r="J3025">
        <f>HYPERLINK("http://g1.globo.com/mg/sul-de-minas/noticia/2014/05/estabilidade-financeira-atrai-haitianos-tentar-recomeco-em-andradas-mg.html", "URL")</f>
        <v/>
      </c>
      <c r="K3025">
        <f>HYPERLINK("https://raw.githubusercontent.com/marcosmapl/dataset_imigrantes/main/noticias_filtered/g1/haitianos/2014/04_mai/html/g1_e8081ad6-22f8-11ed-b24f-6dbe51e79fca_2164.html", "HTML")</f>
        <v/>
      </c>
      <c r="L3025">
        <f>HYPERLINK("https://raw.githubusercontent.com/marcosmapl/dataset_imigrantes/main/noticias_filtered/g1/haitianos/2014/04_mai/txt/g1_e8081ad6-22f8-11ed-b24f-6dbe51e79fca_2164.txt", "TXT")</f>
        <v/>
      </c>
    </row>
    <row r="3026">
      <c r="A3026" s="1" t="n">
        <v>3024</v>
      </c>
      <c r="B3026" t="n">
        <v>2014</v>
      </c>
      <c r="C3026" s="2" t="n">
        <v>41771.91111111111</v>
      </c>
      <c r="D3026" t="inlineStr">
        <is>
          <t>G1</t>
        </is>
      </c>
      <c r="E3026" t="inlineStr">
        <is>
          <t>HAITIANOS</t>
        </is>
      </c>
      <c r="F3026" t="inlineStr"/>
      <c r="G3026" t="inlineStr">
        <is>
          <t>1 RIBEIRÃO E FRANCA</t>
        </is>
      </c>
      <c r="H3026" t="inlineStr">
        <is>
          <t>HAITIANOS MIGRAM PARA O INTERIOR DE SP EM BUSCA DE VAGAS DE TRABALHO</t>
        </is>
      </c>
      <c r="I3026" t="inlineStr"/>
      <c r="J3026">
        <f>HYPERLINK("http://g1.globo.com/sp/ribeirao-preto-franca/noticia/2014/05/haitianos-migram-para-o-interior-de-sp-em-busca-de-vagas-de-trabalho.html", "URL")</f>
        <v/>
      </c>
      <c r="K3026">
        <f>HYPERLINK("https://raw.githubusercontent.com/marcosmapl/dataset_imigrantes/main/noticias_filtered/g1/haitianos/2014/04_mai/html/g1_402c729e-22f3-11ed-b24f-6dbe51e79fca_1832.html", "HTML")</f>
        <v/>
      </c>
      <c r="L3026">
        <f>HYPERLINK("https://raw.githubusercontent.com/marcosmapl/dataset_imigrantes/main/noticias_filtered/g1/haitianos/2014/04_mai/txt/g1_402c729e-22f3-11ed-b24f-6dbe51e79fca_1832.txt", "TXT")</f>
        <v/>
      </c>
    </row>
    <row r="3027">
      <c r="A3027" s="1" t="n">
        <v>3025</v>
      </c>
      <c r="B3027" t="n">
        <v>2014</v>
      </c>
      <c r="C3027" s="2" t="n">
        <v>41771.62430555555</v>
      </c>
      <c r="D3027" t="inlineStr">
        <is>
          <t>G1</t>
        </is>
      </c>
      <c r="E3027" t="inlineStr">
        <is>
          <t>HAITIANOS</t>
        </is>
      </c>
      <c r="F3027" t="inlineStr"/>
      <c r="G3027" t="inlineStr">
        <is>
          <t>1 SC</t>
        </is>
      </c>
      <c r="H3027" t="inlineStr">
        <is>
          <t>NÚMERO DE IMIGRANTES HAITIANOS PASSA DE 1,6 MIL EM SANTA CATARINA</t>
        </is>
      </c>
      <c r="I3027" t="inlineStr"/>
      <c r="J3027">
        <f>HYPERLINK("http://g1.globo.com/sc/santa-catarina/noticia/2014/05/numero-de-imigrantes-haitianos-passa-de-16-mil-em-santa-catarina.html", "URL")</f>
        <v/>
      </c>
      <c r="K3027">
        <f>HYPERLINK("https://raw.githubusercontent.com/marcosmapl/dataset_imigrantes/main/noticias_filtered/g1/haitianos/2014/04_mai/html/g1_002d6d34-22ed-11ed-b24f-6dbe51e79fca_1675.html", "HTML")</f>
        <v/>
      </c>
      <c r="L3027">
        <f>HYPERLINK("https://raw.githubusercontent.com/marcosmapl/dataset_imigrantes/main/noticias_filtered/g1/haitianos/2014/04_mai/txt/g1_002d6d34-22ed-11ed-b24f-6dbe51e79fca_1675.txt", "TXT")</f>
        <v/>
      </c>
    </row>
    <row r="3028">
      <c r="A3028" s="1" t="n">
        <v>3026</v>
      </c>
      <c r="B3028" t="n">
        <v>2014</v>
      </c>
      <c r="C3028" s="2" t="n">
        <v>41769.80486111111</v>
      </c>
      <c r="D3028" t="inlineStr">
        <is>
          <t>G1</t>
        </is>
      </c>
      <c r="E3028" t="inlineStr">
        <is>
          <t>HAITIANOS</t>
        </is>
      </c>
      <c r="F3028" t="inlineStr"/>
      <c r="G3028" t="inlineStr">
        <is>
          <t>1 SÃO CARLOS E ARARAQUARA</t>
        </is>
      </c>
      <c r="H3028" t="inlineStr">
        <is>
          <t>GRUPO FAZ CAMPANHA NA WEB E ENSINA PORTUGUÊS A HAITIANOS EM SÃO CARLOS</t>
        </is>
      </c>
      <c r="I3028" t="inlineStr"/>
      <c r="J3028">
        <f>HYPERLINK("http://g1.globo.com/sp/sao-carlos-regiao/noticia/2014/05/grupo-faz-campanha-na-web-e-ensina-portugues-haitianos-em-sao-carlos.html", "URL")</f>
        <v/>
      </c>
      <c r="K3028">
        <f>HYPERLINK("https://raw.githubusercontent.com/marcosmapl/dataset_imigrantes/main/noticias_filtered/g1/haitianos/2014/04_mai/html/g1_6f1ad9a2-22f7-11ed-b24f-6dbe51e79fca_2079.html", "HTML")</f>
        <v/>
      </c>
      <c r="L3028">
        <f>HYPERLINK("https://raw.githubusercontent.com/marcosmapl/dataset_imigrantes/main/noticias_filtered/g1/haitianos/2014/04_mai/txt/g1_6f1ad9a2-22f7-11ed-b24f-6dbe51e79fca_2079.txt", "TXT")</f>
        <v/>
      </c>
    </row>
    <row r="3029">
      <c r="A3029" s="1" t="n">
        <v>3027</v>
      </c>
      <c r="B3029" t="n">
        <v>2014</v>
      </c>
      <c r="C3029" s="2" t="n">
        <v>41769.68611111111</v>
      </c>
      <c r="D3029" t="inlineStr">
        <is>
          <t>G1</t>
        </is>
      </c>
      <c r="E3029" t="inlineStr">
        <is>
          <t>HAITIANOS</t>
        </is>
      </c>
      <c r="F3029" t="inlineStr"/>
      <c r="G3029" t="inlineStr">
        <is>
          <t>AZ FERNANDESDO G1 PIRACICABA E REGIÃO</t>
        </is>
      </c>
      <c r="H3029" t="inlineStr">
        <is>
          <t>HAITIANA DEIXA QUATRO FILHOS NO PAÍS E VEM EM BUSCA DO 'SONHO BRASILEIRO'</t>
        </is>
      </c>
      <c r="I3029" t="inlineStr"/>
      <c r="J3029">
        <f>HYPERLINK("http://g1.globo.com/sp/piracicaba-regiao/noticia/2014/05/haitiana-gravida-deixa-4-filhos-e-vem-ao-brasil-atras-do-sonho-brasileiro.html", "URL")</f>
        <v/>
      </c>
      <c r="K3029">
        <f>HYPERLINK("https://raw.githubusercontent.com/marcosmapl/dataset_imigrantes/main/noticias_filtered/g1/haitianos/2014/04_mai/html/g1_846d478e-2317-11ed-b24f-6dbe51e79fca_3213.html", "HTML")</f>
        <v/>
      </c>
      <c r="L3029">
        <f>HYPERLINK("https://raw.githubusercontent.com/marcosmapl/dataset_imigrantes/main/noticias_filtered/g1/haitianos/2014/04_mai/txt/g1_846d478e-2317-11ed-b24f-6dbe51e79fca_3213.txt", "TXT")</f>
        <v/>
      </c>
    </row>
    <row r="3030">
      <c r="A3030" s="1" t="n">
        <v>3028</v>
      </c>
      <c r="B3030" t="n">
        <v>2014</v>
      </c>
      <c r="C3030" s="2" t="n">
        <v>41766.86111111111</v>
      </c>
      <c r="D3030" t="inlineStr">
        <is>
          <t>G1</t>
        </is>
      </c>
      <c r="E3030" t="inlineStr">
        <is>
          <t>HAITIANOS</t>
        </is>
      </c>
      <c r="F3030" t="inlineStr"/>
      <c r="G3030" t="inlineStr">
        <is>
          <t>ANA RIBEIRODO G1 AC</t>
        </is>
      </c>
      <c r="H3030" t="inlineStr">
        <is>
          <t>TIÃO VIANA REJEITA REUNIÃO COM ALCKMIN PARA TRATAR SOBRE HAITIANOS</t>
        </is>
      </c>
      <c r="I3030" t="inlineStr"/>
      <c r="J3030">
        <f>HYPERLINK("http://g1.globo.com/ac/acre/noticia/2014/05/tiao-viana-rejeita-reuniao-com-alckmin-para-tratar-sobre-haitianos.html", "URL")</f>
        <v/>
      </c>
      <c r="K3030">
        <f>HYPERLINK("https://raw.githubusercontent.com/marcosmapl/dataset_imigrantes/main/noticias_filtered/g1/haitianos/2014/04_mai/html/g1_4ea0cd96-22f5-11ed-b24f-6dbe51e79fca_1941.html", "HTML")</f>
        <v/>
      </c>
      <c r="L3030">
        <f>HYPERLINK("https://raw.githubusercontent.com/marcosmapl/dataset_imigrantes/main/noticias_filtered/g1/haitianos/2014/04_mai/txt/g1_4ea0cd96-22f5-11ed-b24f-6dbe51e79fca_1941.txt", "TXT")</f>
        <v/>
      </c>
    </row>
    <row r="3031">
      <c r="A3031" s="1" t="n">
        <v>3029</v>
      </c>
      <c r="B3031" t="n">
        <v>2014</v>
      </c>
      <c r="C3031" s="2" t="n">
        <v>41766.81388888889</v>
      </c>
      <c r="D3031" t="inlineStr">
        <is>
          <t>G1</t>
        </is>
      </c>
      <c r="E3031" t="inlineStr">
        <is>
          <t>HAITIANOS</t>
        </is>
      </c>
      <c r="F3031" t="inlineStr"/>
      <c r="G3031" t="inlineStr"/>
      <c r="H3031" t="inlineStr">
        <is>
          <t>REFUGIADOS HAITIANOS E SÍRIOS NO BRASIL SÃO TEMA DE ‘FERNANDO GABEIRA’</t>
        </is>
      </c>
      <c r="I3031" t="inlineStr"/>
      <c r="J3031">
        <f>HYPERLINK("http://g1.globo.com/globo-news/noticia/2014/05/refugiados-haitianos-e-sirios-no-brasil-sao-tema-de-fernando-gabeira.html", "URL")</f>
        <v/>
      </c>
      <c r="K3031">
        <f>HYPERLINK("https://raw.githubusercontent.com/marcosmapl/dataset_imigrantes/main/noticias_filtered/g1/haitianos/2014/04_mai/html/g1_a0e125a0-22f6-11ed-b24f-6dbe51e79fca_2025.html", "HTML")</f>
        <v/>
      </c>
      <c r="L3031">
        <f>HYPERLINK("https://raw.githubusercontent.com/marcosmapl/dataset_imigrantes/main/noticias_filtered/g1/haitianos/2014/04_mai/txt/g1_a0e125a0-22f6-11ed-b24f-6dbe51e79fca_2025.txt", "TXT")</f>
        <v/>
      </c>
    </row>
    <row r="3032">
      <c r="A3032" s="1" t="n">
        <v>3030</v>
      </c>
      <c r="B3032" t="n">
        <v>2014</v>
      </c>
      <c r="C3032" s="2" t="n">
        <v>41765.75138888889</v>
      </c>
      <c r="D3032" t="inlineStr">
        <is>
          <t>G1</t>
        </is>
      </c>
      <c r="E3032" t="inlineStr">
        <is>
          <t>HAITIANOS</t>
        </is>
      </c>
      <c r="F3032" t="inlineStr"/>
      <c r="G3032" t="inlineStr">
        <is>
          <t xml:space="preserve"> FULGÊNCIODO G1 AC</t>
        </is>
      </c>
      <c r="H3032" t="inlineStr">
        <is>
          <t>EMPRESA DE SC VOLTA AO ACRE PELA 3ª VEZ PARA RECRUTAR HAITIANOS</t>
        </is>
      </c>
      <c r="I3032" t="inlineStr"/>
      <c r="J3032">
        <f>HYPERLINK("http://g1.globo.com/ac/acre/noticia/2014/05/empresa-de-sc-volta-ao-acre-pela-3-vez-para-recrutar-haitianos.html", "URL")</f>
        <v/>
      </c>
      <c r="K3032">
        <f>HYPERLINK("https://raw.githubusercontent.com/marcosmapl/dataset_imigrantes/main/noticias_filtered/g1/haitianos/2014/04_mai/html/g1_88cd5616-22f9-11ed-b24f-6dbe51e79fca_2168.html", "HTML")</f>
        <v/>
      </c>
      <c r="L3032">
        <f>HYPERLINK("https://raw.githubusercontent.com/marcosmapl/dataset_imigrantes/main/noticias_filtered/g1/haitianos/2014/04_mai/txt/g1_88cd5616-22f9-11ed-b24f-6dbe51e79fca_2168.txt", "TXT")</f>
        <v/>
      </c>
    </row>
    <row r="3033">
      <c r="A3033" s="1" t="n">
        <v>3031</v>
      </c>
      <c r="B3033" t="n">
        <v>2014</v>
      </c>
      <c r="C3033" s="2" t="n">
        <v>41765.28958333333</v>
      </c>
      <c r="D3033" t="inlineStr">
        <is>
          <t>G1</t>
        </is>
      </c>
      <c r="E3033" t="inlineStr">
        <is>
          <t>HAITIANOS</t>
        </is>
      </c>
      <c r="F3033" t="inlineStr"/>
      <c r="G3033" t="inlineStr">
        <is>
          <t>1 SÃO PAULO</t>
        </is>
      </c>
      <c r="H3033" t="inlineStr">
        <is>
          <t>PREFEITURA DE SP INAUGURA ABRIGO PARA HAITIANOS NESTA TERÇA</t>
        </is>
      </c>
      <c r="I3033" t="inlineStr"/>
      <c r="J3033">
        <f>HYPERLINK("http://g1.globo.com/sao-paulo/noticia/2014/05/prefeitura-de-sp-inaugura-abrigo-para-haitianos-nesta-terca.html", "URL")</f>
        <v/>
      </c>
      <c r="K3033">
        <f>HYPERLINK("https://raw.githubusercontent.com/marcosmapl/dataset_imigrantes/main/noticias_filtered/g1/haitianos/2014/04_mai/html/g1_a2979d84-22f1-11ed-b24f-6dbe51e79fca_1759.html", "HTML")</f>
        <v/>
      </c>
      <c r="L3033">
        <f>HYPERLINK("https://raw.githubusercontent.com/marcosmapl/dataset_imigrantes/main/noticias_filtered/g1/haitianos/2014/04_mai/txt/g1_a2979d84-22f1-11ed-b24f-6dbe51e79fca_1759.txt", "TXT")</f>
        <v/>
      </c>
    </row>
    <row r="3034">
      <c r="A3034" s="1" t="n">
        <v>3032</v>
      </c>
      <c r="B3034" t="n">
        <v>2014</v>
      </c>
      <c r="C3034" s="2" t="n">
        <v>41764.84722222222</v>
      </c>
      <c r="D3034" t="inlineStr">
        <is>
          <t>G1</t>
        </is>
      </c>
      <c r="E3034" t="inlineStr">
        <is>
          <t>HAITIANOS</t>
        </is>
      </c>
      <c r="F3034" t="inlineStr"/>
      <c r="G3034" t="inlineStr">
        <is>
          <t>CIA EFE</t>
        </is>
      </c>
      <c r="H3034" t="inlineStr">
        <is>
          <t>EXIGÊNCIA DE DOCUMENTOS PARA HAITIANOS ESTIMULA TRÁFICO DE PESSOAS</t>
        </is>
      </c>
      <c r="I3034" t="inlineStr"/>
      <c r="J3034">
        <f>HYPERLINK("http://g1.globo.com/ac/acre/noticia/2014/05/exigencia-de-documentos-para-haitianos-estimula-trafico-de-pessoas.html", "URL")</f>
        <v/>
      </c>
      <c r="K3034">
        <f>HYPERLINK("https://raw.githubusercontent.com/marcosmapl/dataset_imigrantes/main/noticias_filtered/g1/haitianos/2014/04_mai/html/g1_367467d0-22f2-11ed-b24f-6dbe51e79fca_1784.html", "HTML")</f>
        <v/>
      </c>
      <c r="L3034">
        <f>HYPERLINK("https://raw.githubusercontent.com/marcosmapl/dataset_imigrantes/main/noticias_filtered/g1/haitianos/2014/04_mai/txt/g1_367467d0-22f2-11ed-b24f-6dbe51e79fca_1784.txt", "TXT")</f>
        <v/>
      </c>
    </row>
    <row r="3035">
      <c r="A3035" s="1" t="n">
        <v>3033</v>
      </c>
      <c r="B3035" t="n">
        <v>2014</v>
      </c>
      <c r="C3035" s="2" t="n">
        <v>41764.84375</v>
      </c>
      <c r="D3035" t="inlineStr">
        <is>
          <t>G1</t>
        </is>
      </c>
      <c r="E3035" t="inlineStr">
        <is>
          <t>HAITIANOS</t>
        </is>
      </c>
      <c r="F3035" t="inlineStr"/>
      <c r="G3035" t="inlineStr">
        <is>
          <t>CIA EFE</t>
        </is>
      </c>
      <c r="H3035" t="inlineStr">
        <is>
          <t>GAROTO HAITIANO VIVE HÁ MAIS DE UM ANO EM ABRIGO NO ACRE</t>
        </is>
      </c>
      <c r="I3035" t="inlineStr"/>
      <c r="J3035">
        <f>HYPERLINK("http://g1.globo.com/ac/acre/noticia/2014/05/garoto-haitiano-vive-ha-mais-de-um-ano-em-abrigo-no-acre.html", "URL")</f>
        <v/>
      </c>
      <c r="K3035">
        <f>HYPERLINK("https://raw.githubusercontent.com/marcosmapl/dataset_imigrantes/main/noticias_filtered/g1/haitianos/2014/04_mai/html/g1_c3751fba-2308-11ed-b24f-6dbe51e79fca_2402.html", "HTML")</f>
        <v/>
      </c>
      <c r="L3035">
        <f>HYPERLINK("https://raw.githubusercontent.com/marcosmapl/dataset_imigrantes/main/noticias_filtered/g1/haitianos/2014/04_mai/txt/g1_c3751fba-2308-11ed-b24f-6dbe51e79fca_2402.txt", "TXT")</f>
        <v/>
      </c>
    </row>
    <row r="3036">
      <c r="A3036" s="1" t="n">
        <v>3034</v>
      </c>
      <c r="B3036" t="n">
        <v>2014</v>
      </c>
      <c r="C3036" s="2" t="n">
        <v>41764.46041666667</v>
      </c>
      <c r="D3036" t="inlineStr">
        <is>
          <t>G1</t>
        </is>
      </c>
      <c r="E3036" t="inlineStr">
        <is>
          <t>HAITIANOS</t>
        </is>
      </c>
      <c r="F3036" t="inlineStr"/>
      <c r="G3036" t="inlineStr">
        <is>
          <t>1 SÃO PAULO</t>
        </is>
      </c>
      <c r="H3036" t="inlineStr">
        <is>
          <t>HADDAD PEDIRÁ A EMBAIXADOR QUE HAITIANOS TENHAM CARTEIRA DE TRABALHO</t>
        </is>
      </c>
      <c r="I3036" t="inlineStr"/>
      <c r="J3036">
        <f>HYPERLINK("http://g1.globo.com/sao-paulo/noticia/2014/05/haddad-pedira-embaixador-que-haitianos-tenham-carteira-de-trabalho.html", "URL")</f>
        <v/>
      </c>
      <c r="K3036">
        <f>HYPERLINK("https://raw.githubusercontent.com/marcosmapl/dataset_imigrantes/main/noticias_filtered/g1/haitianos/2014/04_mai/html/g1_edbb6c5e-22f7-11ed-b24f-6dbe51e79fca_2105.html", "HTML")</f>
        <v/>
      </c>
      <c r="L3036">
        <f>HYPERLINK("https://raw.githubusercontent.com/marcosmapl/dataset_imigrantes/main/noticias_filtered/g1/haitianos/2014/04_mai/txt/g1_edbb6c5e-22f7-11ed-b24f-6dbe51e79fca_2105.txt", "TXT")</f>
        <v/>
      </c>
    </row>
    <row r="3037">
      <c r="A3037" s="1" t="n">
        <v>3035</v>
      </c>
      <c r="B3037" t="n">
        <v>2014</v>
      </c>
      <c r="C3037" s="2" t="n">
        <v>41761.51736111111</v>
      </c>
      <c r="D3037" t="inlineStr">
        <is>
          <t>G1</t>
        </is>
      </c>
      <c r="E3037" t="inlineStr">
        <is>
          <t>HAITIANOS</t>
        </is>
      </c>
      <c r="F3037" t="inlineStr"/>
      <c r="G3037" t="inlineStr">
        <is>
          <t>ANA SANTIAGO E LÍVIA MACHADODO G1 SÃO PAULO</t>
        </is>
      </c>
      <c r="H3037" t="inlineStr">
        <is>
          <t>PROFESSOR É DETIDO SOB SUSPEITA DE ESTELIONATO CONTRA HAITIANOS EM SP</t>
        </is>
      </c>
      <c r="I3037" t="inlineStr"/>
      <c r="J3037">
        <f>HYPERLINK("http://g1.globo.com/sao-paulo/noticia/2014/05/professor-e-detido-sob-suspeita-de-explorar-haitianos-em-sao-paulo.html", "URL")</f>
        <v/>
      </c>
      <c r="K3037">
        <f>HYPERLINK("https://raw.githubusercontent.com/marcosmapl/dataset_imigrantes/main/noticias_filtered/g1/haitianos/2014/04_mai/html/g1_08ad7990-22f7-11ed-b24f-6dbe51e79fca_2054.html", "HTML")</f>
        <v/>
      </c>
      <c r="L3037">
        <f>HYPERLINK("https://raw.githubusercontent.com/marcosmapl/dataset_imigrantes/main/noticias_filtered/g1/haitianos/2014/04_mai/txt/g1_08ad7990-22f7-11ed-b24f-6dbe51e79fca_2054.txt", "TXT")</f>
        <v/>
      </c>
    </row>
    <row r="3038">
      <c r="A3038" s="1" t="n">
        <v>3036</v>
      </c>
      <c r="B3038" t="n">
        <v>2014</v>
      </c>
      <c r="C3038" s="2" t="n">
        <v>41760.87847222222</v>
      </c>
      <c r="D3038" t="inlineStr">
        <is>
          <t>G1</t>
        </is>
      </c>
      <c r="E3038" t="inlineStr">
        <is>
          <t>HAITIANOS</t>
        </is>
      </c>
      <c r="F3038" t="inlineStr"/>
      <c r="G3038" t="inlineStr">
        <is>
          <t>A MACHADODO G1 SÃO PAULO</t>
        </is>
      </c>
      <c r="H3038" t="inlineStr">
        <is>
          <t>PADRE PRESSIONA MINISTROS POR HAITIANOS EM EVENTO DA FORÇA EM SP</t>
        </is>
      </c>
      <c r="I3038" t="inlineStr"/>
      <c r="J3038">
        <f>HYPERLINK("http://g1.globo.com/sao-paulo/noticia/2014/05/padre-pressiona-ministros-por-haitianos-em-evento-da-forca-em-sp.html", "URL")</f>
        <v/>
      </c>
      <c r="K3038">
        <f>HYPERLINK("https://raw.githubusercontent.com/marcosmapl/dataset_imigrantes/main/noticias_filtered/g1/haitianos/2014/04_mai/html/g1_cc72e560-22f5-11ed-b24f-6dbe51e79fca_1973.html", "HTML")</f>
        <v/>
      </c>
      <c r="L3038">
        <f>HYPERLINK("https://raw.githubusercontent.com/marcosmapl/dataset_imigrantes/main/noticias_filtered/g1/haitianos/2014/04_mai/txt/g1_cc72e560-22f5-11ed-b24f-6dbe51e79fca_1973.txt", "TXT")</f>
        <v/>
      </c>
    </row>
    <row r="3039">
      <c r="A3039" s="1" t="n">
        <v>3037</v>
      </c>
      <c r="B3039" t="n">
        <v>2014</v>
      </c>
      <c r="C3039" s="2" t="n">
        <v>41760.50486111111</v>
      </c>
      <c r="D3039" t="inlineStr">
        <is>
          <t>G1</t>
        </is>
      </c>
      <c r="E3039" t="inlineStr">
        <is>
          <t>HAITIANOS</t>
        </is>
      </c>
      <c r="F3039" t="inlineStr"/>
      <c r="G3039" t="inlineStr">
        <is>
          <t>1 PIRACICABA E REGIÃO</t>
        </is>
      </c>
      <c r="H3039" t="inlineStr">
        <is>
          <t>HAITIANOS MIGRAM PARA O INTERIOR APÓS FALTA DE OPORTUNIDADE NA CAPITAL DE SP</t>
        </is>
      </c>
      <c r="I3039" t="inlineStr"/>
      <c r="J3039">
        <f>HYPERLINK("http://g1.globo.com/sp/piracicaba-regiao/noticia/2014/05/haitianos-migram-para-o-interior-apos-falta-de-oportunidade-na-capital-de-sp.html", "URL")</f>
        <v/>
      </c>
      <c r="K3039">
        <f>HYPERLINK("https://raw.githubusercontent.com/marcosmapl/dataset_imigrantes/main/noticias_filtered/g1/haitianos/2014/04_mai/html/g1_2d4de51e-22f2-11ed-b24f-6dbe51e79fca_1782.html", "HTML")</f>
        <v/>
      </c>
      <c r="L3039">
        <f>HYPERLINK("https://raw.githubusercontent.com/marcosmapl/dataset_imigrantes/main/noticias_filtered/g1/haitianos/2014/04_mai/txt/g1_2d4de51e-22f2-11ed-b24f-6dbe51e79fca_1782.txt", "TXT")</f>
        <v/>
      </c>
    </row>
    <row r="3040">
      <c r="A3040" s="1" t="n">
        <v>3038</v>
      </c>
      <c r="B3040" t="n">
        <v>2014</v>
      </c>
      <c r="C3040" s="2" t="n">
        <v>41759.66388888889</v>
      </c>
      <c r="D3040" t="inlineStr">
        <is>
          <t>G1</t>
        </is>
      </c>
      <c r="E3040" t="inlineStr">
        <is>
          <t>HAITIANOS</t>
        </is>
      </c>
      <c r="F3040" t="inlineStr"/>
      <c r="G3040" t="inlineStr">
        <is>
          <t>ANA BRAGADO G1, EM BRASÍLIA</t>
        </is>
      </c>
      <c r="H3040" t="inlineStr">
        <is>
          <t>GOVERNO QUER ESTIMULAR HAITIANOS A TIRAR VISTO PARA ENTRAR NO BRASIL</t>
        </is>
      </c>
      <c r="I3040" t="inlineStr"/>
      <c r="J3040">
        <f>HYPERLINK("http://g1.globo.com/politica/noticia/2014/04/governo-quer-estimular-haitianos-tirar-vistos-para-entrar-no-brasil.html", "URL")</f>
        <v/>
      </c>
      <c r="K3040">
        <f>HYPERLINK("https://raw.githubusercontent.com/marcosmapl/dataset_imigrantes/main/noticias_filtered/g1/haitianos/2014/03_abr/html/g1_8d1f7f7e-22f8-11ed-b24f-6dbe51e79fca_2142.html", "HTML")</f>
        <v/>
      </c>
      <c r="L3040">
        <f>HYPERLINK("https://raw.githubusercontent.com/marcosmapl/dataset_imigrantes/main/noticias_filtered/g1/haitianos/2014/03_abr/txt/g1_8d1f7f7e-22f8-11ed-b24f-6dbe51e79fca_2142.txt", "TXT")</f>
        <v/>
      </c>
    </row>
    <row r="3041">
      <c r="A3041" s="1" t="n">
        <v>3039</v>
      </c>
      <c r="B3041" t="n">
        <v>2014</v>
      </c>
      <c r="C3041" s="2" t="n">
        <v>41758.67013888889</v>
      </c>
      <c r="D3041" t="inlineStr">
        <is>
          <t>G1</t>
        </is>
      </c>
      <c r="E3041" t="inlineStr">
        <is>
          <t>HAITIANOS</t>
        </is>
      </c>
      <c r="F3041" t="inlineStr"/>
      <c r="G3041" t="inlineStr">
        <is>
          <t>YANA ARAÚJODO G1 MT</t>
        </is>
      </c>
      <c r="H3041" t="inlineStr">
        <is>
          <t>CINQUENTA HAITIANOS FAZEM CURSO GRATUITO DE PORTUGUÊS EM CUIABÁ</t>
        </is>
      </c>
      <c r="I3041" t="inlineStr"/>
      <c r="J3041">
        <f>HYPERLINK("http://g1.globo.com/mato-grosso/noticia/2014/04/cinquenta-haitianos-fazem-curso-gratuito-de-portugues-em-cuiaba.html", "URL")</f>
        <v/>
      </c>
      <c r="K3041">
        <f>HYPERLINK("https://raw.githubusercontent.com/marcosmapl/dataset_imigrantes/main/noticias_filtered/g1/haitianos/2014/03_abr/html/g1_d52e3a84-22f4-11ed-b24f-6dbe51e79fca_1913.html", "HTML")</f>
        <v/>
      </c>
      <c r="L3041">
        <f>HYPERLINK("https://raw.githubusercontent.com/marcosmapl/dataset_imigrantes/main/noticias_filtered/g1/haitianos/2014/03_abr/txt/g1_d52e3a84-22f4-11ed-b24f-6dbe51e79fca_1913.txt", "TXT")</f>
        <v/>
      </c>
    </row>
    <row r="3042">
      <c r="A3042" s="1" t="n">
        <v>3040</v>
      </c>
      <c r="B3042" t="n">
        <v>2014</v>
      </c>
      <c r="C3042" s="2" t="n">
        <v>41758.35972222222</v>
      </c>
      <c r="D3042" t="inlineStr">
        <is>
          <t>G1</t>
        </is>
      </c>
      <c r="E3042" t="inlineStr">
        <is>
          <t>HAITIANOS</t>
        </is>
      </c>
      <c r="F3042" t="inlineStr"/>
      <c r="G3042" t="inlineStr">
        <is>
          <t>1 SÃO PAULO</t>
        </is>
      </c>
      <c r="H3042" t="inlineStr">
        <is>
          <t>MINISTÉRIO QUER CONVOCAR EMPRESAS DO PAC PARA CONTRATAR HAITIANOS</t>
        </is>
      </c>
      <c r="I3042" t="inlineStr"/>
      <c r="J3042">
        <f>HYPERLINK("http://g1.globo.com/sao-paulo/noticia/2014/04/ministerio-quer-convocar-empresas-do-pac-para-contratar-haitianos.html", "URL")</f>
        <v/>
      </c>
      <c r="K3042">
        <f>HYPERLINK("https://raw.githubusercontent.com/marcosmapl/dataset_imigrantes/main/noticias_filtered/g1/haitianos/2014/03_abr/html/g1_b5700ae4-22f2-11ed-b24f-6dbe51e79fca_1811.html", "HTML")</f>
        <v/>
      </c>
      <c r="L3042">
        <f>HYPERLINK("https://raw.githubusercontent.com/marcosmapl/dataset_imigrantes/main/noticias_filtered/g1/haitianos/2014/03_abr/txt/g1_b5700ae4-22f2-11ed-b24f-6dbe51e79fca_1811.txt", "TXT")</f>
        <v/>
      </c>
    </row>
    <row r="3043">
      <c r="A3043" s="1" t="n">
        <v>3041</v>
      </c>
      <c r="B3043" t="n">
        <v>2014</v>
      </c>
      <c r="C3043" s="2" t="n">
        <v>41757.91666666666</v>
      </c>
      <c r="D3043" t="inlineStr">
        <is>
          <t>G1</t>
        </is>
      </c>
      <c r="E3043" t="inlineStr">
        <is>
          <t>HAITIANOS</t>
        </is>
      </c>
      <c r="F3043" t="inlineStr"/>
      <c r="G3043" t="inlineStr"/>
      <c r="H3043" t="inlineStr">
        <is>
          <t>GOVERNO PROMETE MONTAR ESTRUTURAS EM 4 CIDADES PARA RECEBER HAITIANOS</t>
        </is>
      </c>
      <c r="I3043" t="inlineStr"/>
      <c r="J3043">
        <f>HYPERLINK("http://g1.globo.com/jornal-nacional/noticia/2014/04/governo-promete-montar-estruturas-em-4-cidades-para-receber-haitianos.html", "URL")</f>
        <v/>
      </c>
      <c r="K3043">
        <f>HYPERLINK("https://raw.githubusercontent.com/marcosmapl/dataset_imigrantes/main/noticias_filtered/g1/haitianos/2014/03_abr/html/g1_2a25099a-22f6-11ed-b24f-6dbe51e79fca_1997.html", "HTML")</f>
        <v/>
      </c>
      <c r="L3043">
        <f>HYPERLINK("https://raw.githubusercontent.com/marcosmapl/dataset_imigrantes/main/noticias_filtered/g1/haitianos/2014/03_abr/txt/g1_2a25099a-22f6-11ed-b24f-6dbe51e79fca_1997.txt", "TXT")</f>
        <v/>
      </c>
    </row>
    <row r="3044">
      <c r="A3044" s="1" t="n">
        <v>3042</v>
      </c>
      <c r="B3044" t="n">
        <v>2014</v>
      </c>
      <c r="C3044" s="2" t="n">
        <v>41757.56388888889</v>
      </c>
      <c r="D3044" t="inlineStr">
        <is>
          <t>G1</t>
        </is>
      </c>
      <c r="E3044" t="inlineStr">
        <is>
          <t>HAITIANOS</t>
        </is>
      </c>
      <c r="F3044" t="inlineStr"/>
      <c r="G3044" t="inlineStr">
        <is>
          <t>ANA SANTIAGODO G1 SÃO PAULO</t>
        </is>
      </c>
      <c r="H3044" t="inlineStr">
        <is>
          <t>SECRETÁRIO CRITICA ACRE POR 'DESPEJAR'  HAITIANOS EM SP SEM AVISO PRÉVIO</t>
        </is>
      </c>
      <c r="I3044" t="inlineStr"/>
      <c r="J3044">
        <f>HYPERLINK("http://g1.globo.com/sao-paulo/noticia/2014/04/secretario-critica-acre-por-despejar-haitianos-em-sp-sem-aviso-previo.html", "URL")</f>
        <v/>
      </c>
      <c r="K3044">
        <f>HYPERLINK("https://raw.githubusercontent.com/marcosmapl/dataset_imigrantes/main/noticias_filtered/g1/haitianos/2014/03_abr/html/g1_b04b75e4-22f2-11ed-b24f-6dbe51e79fca_1810.html", "HTML")</f>
        <v/>
      </c>
      <c r="L3044">
        <f>HYPERLINK("https://raw.githubusercontent.com/marcosmapl/dataset_imigrantes/main/noticias_filtered/g1/haitianos/2014/03_abr/txt/g1_b04b75e4-22f2-11ed-b24f-6dbe51e79fca_1810.txt", "TXT")</f>
        <v/>
      </c>
    </row>
    <row r="3045">
      <c r="A3045" s="1" t="n">
        <v>3043</v>
      </c>
      <c r="B3045" t="n">
        <v>2014</v>
      </c>
      <c r="C3045" s="2" t="n">
        <v>41757.29166666666</v>
      </c>
      <c r="D3045" t="inlineStr">
        <is>
          <t>G1</t>
        </is>
      </c>
      <c r="E3045" t="inlineStr">
        <is>
          <t>HAITIANOS</t>
        </is>
      </c>
      <c r="F3045" t="inlineStr"/>
      <c r="G3045" t="inlineStr">
        <is>
          <t>BC</t>
        </is>
      </c>
      <c r="H3045" t="inlineStr">
        <is>
          <t>ATITUDE 'AMIGÁVEL' DO GOVERNO ATRAI HAITIANOS PARA O BRASIL</t>
        </is>
      </c>
      <c r="I3045" t="inlineStr"/>
      <c r="J3045">
        <f>HYPERLINK("http://g1.globo.com/mundo/noticia/2014/04/atitude-amigavel-do-governo-atrai-haitianos-para-o-brasil.html", "URL")</f>
        <v/>
      </c>
      <c r="K3045">
        <f>HYPERLINK("https://raw.githubusercontent.com/marcosmapl/dataset_imigrantes/main/noticias_filtered/g1/haitianos/2014/03_abr/html/g1_c22c0b3a-22f1-11ed-b24f-6dbe51e79fca_1764.html", "HTML")</f>
        <v/>
      </c>
      <c r="L3045">
        <f>HYPERLINK("https://raw.githubusercontent.com/marcosmapl/dataset_imigrantes/main/noticias_filtered/g1/haitianos/2014/03_abr/txt/g1_c22c0b3a-22f1-11ed-b24f-6dbe51e79fca_1764.txt", "TXT")</f>
        <v/>
      </c>
    </row>
    <row r="3046">
      <c r="A3046" s="1" t="n">
        <v>3044</v>
      </c>
      <c r="B3046" t="n">
        <v>2014</v>
      </c>
      <c r="C3046" s="2" t="n">
        <v>41755.89482638889</v>
      </c>
      <c r="D3046" t="inlineStr">
        <is>
          <t>A CRITICA</t>
        </is>
      </c>
      <c r="E3046" t="inlineStr">
        <is>
          <t>HAITIANOS</t>
        </is>
      </c>
      <c r="F3046" t="inlineStr"/>
      <c r="G3046" t="inlineStr">
        <is>
          <t>JOANA QUEIROZ</t>
        </is>
      </c>
      <c r="H3046" t="inlineStr">
        <is>
          <t>A FORÇA DE UM ‘BOATO’</t>
        </is>
      </c>
      <c r="I3046" t="inlineStr">
        <is>
          <t>ESPALHA-SE DE FORMA VIRAL DIVERSAS INFORMAÇÕES COM O OBJETIVO DE CAUSAR PÂNICO NA SOCIEDADE, CASO SEJA LEVADO A SÉRIO</t>
        </is>
      </c>
      <c r="J3046">
        <f>HYPERLINK("https://www.acritica.com/a-forca-de-um-boato-1.150516", "URL")</f>
        <v/>
      </c>
      <c r="K3046">
        <f>HYPERLINK("https://raw.githubusercontent.com/marcosmapl/dataset_imigrantes/main/noticias_filtered/a_critica/haitianos/2014/03_abr/html/1.150516_143.html", "HTML")</f>
        <v/>
      </c>
      <c r="L3046">
        <f>HYPERLINK("https://raw.githubusercontent.com/marcosmapl/dataset_imigrantes/main/noticias_filtered/a_critica/haitianos/2014/03_abr/txt/1.150516_143.txt", "TXT")</f>
        <v/>
      </c>
    </row>
    <row r="3047">
      <c r="A3047" s="1" t="n">
        <v>3045</v>
      </c>
      <c r="B3047" t="n">
        <v>2014</v>
      </c>
      <c r="C3047" s="2" t="n">
        <v>41755.01180555556</v>
      </c>
      <c r="D3047" t="inlineStr">
        <is>
          <t>G1</t>
        </is>
      </c>
      <c r="E3047" t="inlineStr">
        <is>
          <t>HAITIANOS</t>
        </is>
      </c>
      <c r="F3047" t="inlineStr"/>
      <c r="G3047" t="inlineStr">
        <is>
          <t xml:space="preserve"> ROBERTO BURNIERSÃO PAULO, SP</t>
        </is>
      </c>
      <c r="H3047" t="inlineStr">
        <is>
          <t>MINISTÉRIO DO TRABALHO LEVA CARTEIRAS DE TRABALHO A HAITIANOS EM SÃO PAULO</t>
        </is>
      </c>
      <c r="I3047" t="inlineStr"/>
      <c r="J3047">
        <f>HYPERLINK("http://g1.globo.com/jornal-da-globo/noticia/2014/04/ministerio-do-trabalho-leva-carteiras-de-trabalho-haitianos-em-sao-paulo.html", "URL")</f>
        <v/>
      </c>
      <c r="K3047">
        <f>HYPERLINK("https://raw.githubusercontent.com/marcosmapl/dataset_imigrantes/main/noticias_filtered/g1/haitianos/2014/03_abr/html/g1_9363cc00-22f8-11ed-b24f-6dbe51e79fca_2144.html", "HTML")</f>
        <v/>
      </c>
      <c r="L3047">
        <f>HYPERLINK("https://raw.githubusercontent.com/marcosmapl/dataset_imigrantes/main/noticias_filtered/g1/haitianos/2014/03_abr/txt/g1_9363cc00-22f8-11ed-b24f-6dbe51e79fca_2144.txt", "TXT")</f>
        <v/>
      </c>
    </row>
    <row r="3048">
      <c r="A3048" s="1" t="n">
        <v>3046</v>
      </c>
      <c r="B3048" t="n">
        <v>2014</v>
      </c>
      <c r="C3048" s="2" t="n">
        <v>41754.61111111111</v>
      </c>
      <c r="D3048" t="inlineStr">
        <is>
          <t>G1</t>
        </is>
      </c>
      <c r="E3048" t="inlineStr">
        <is>
          <t>HAITIANOS</t>
        </is>
      </c>
      <c r="F3048" t="inlineStr"/>
      <c r="G3048" t="inlineStr">
        <is>
          <t xml:space="preserve"> MARCELDO G1 AC</t>
        </is>
      </c>
      <c r="H3048" t="inlineStr">
        <is>
          <t>EM CARTA, BISPO DO AC PEDE AJUDA DO PAPA PARA IMIGRANTES HAITIANOS</t>
        </is>
      </c>
      <c r="I3048" t="inlineStr"/>
      <c r="J3048">
        <f>HYPERLINK("http://g1.globo.com/ac/acre/noticia/2014/04/em-carta-bispo-do-ac-pede-ajuda-do-papa-para-imigrantes-haitianos.html", "URL")</f>
        <v/>
      </c>
      <c r="K3048">
        <f>HYPERLINK("https://raw.githubusercontent.com/marcosmapl/dataset_imigrantes/main/noticias_filtered/g1/haitianos/2014/03_abr/html/g1_1b70c69c-22f5-11ed-b24f-6dbe51e79fca_1931.html", "HTML")</f>
        <v/>
      </c>
      <c r="L3048">
        <f>HYPERLINK("https://raw.githubusercontent.com/marcosmapl/dataset_imigrantes/main/noticias_filtered/g1/haitianos/2014/03_abr/txt/g1_1b70c69c-22f5-11ed-b24f-6dbe51e79fca_1931.txt", "TXT")</f>
        <v/>
      </c>
    </row>
    <row r="3049">
      <c r="A3049" s="1" t="n">
        <v>3047</v>
      </c>
      <c r="B3049" t="n">
        <v>2014</v>
      </c>
      <c r="C3049" s="2" t="n">
        <v>41754.27013888889</v>
      </c>
      <c r="D3049" t="inlineStr">
        <is>
          <t>G1</t>
        </is>
      </c>
      <c r="E3049" t="inlineStr">
        <is>
          <t>HAITIANOS</t>
        </is>
      </c>
      <c r="F3049" t="inlineStr"/>
      <c r="G3049" t="inlineStr">
        <is>
          <t>CIA MACEDODO G1 SÃO PAULO</t>
        </is>
      </c>
      <c r="H3049" t="inlineStr">
        <is>
          <t>VOLUNTÁRIOS ESTRANGEIROS PREPARAM ALMOÇOS PARA HAITIANOS EM SP</t>
        </is>
      </c>
      <c r="I3049" t="inlineStr"/>
      <c r="J3049">
        <f>HYPERLINK("http://g1.globo.com/sao-paulo/noticia/2014/04/voluntarios-estrangeiros-preparam-almocos-para-haitianos-em-sp.html", "URL")</f>
        <v/>
      </c>
      <c r="K3049">
        <f>HYPERLINK("https://raw.githubusercontent.com/marcosmapl/dataset_imigrantes/main/noticias_filtered/g1/haitianos/2014/03_abr/html/g1_06cb987e-22f6-11ed-b24f-6dbe51e79fca_1988.html", "HTML")</f>
        <v/>
      </c>
      <c r="L3049">
        <f>HYPERLINK("https://raw.githubusercontent.com/marcosmapl/dataset_imigrantes/main/noticias_filtered/g1/haitianos/2014/03_abr/txt/g1_06cb987e-22f6-11ed-b24f-6dbe51e79fca_1988.txt", "TXT")</f>
        <v/>
      </c>
    </row>
    <row r="3050">
      <c r="A3050" s="1" t="n">
        <v>3048</v>
      </c>
      <c r="B3050" t="n">
        <v>2014</v>
      </c>
      <c r="C3050" s="2" t="n">
        <v>41753.80277777778</v>
      </c>
      <c r="D3050" t="inlineStr">
        <is>
          <t>G1</t>
        </is>
      </c>
      <c r="E3050" t="inlineStr">
        <is>
          <t>HAITIANOS</t>
        </is>
      </c>
      <c r="F3050" t="inlineStr"/>
      <c r="G3050" t="inlineStr">
        <is>
          <t>1 SÃO PAULO</t>
        </is>
      </c>
      <c r="H3050" t="inlineStr">
        <is>
          <t>SECRETÁRIA DE JUSTIÇA DE SP DIZ QUE ACRE FOI 'IRRESPONSÁVEL' COM HAITIANOS</t>
        </is>
      </c>
      <c r="I3050" t="inlineStr"/>
      <c r="J3050">
        <f>HYPERLINK("http://g1.globo.com/sao-paulo/noticia/2014/04/secretaria-de-justica-de-sp-diz-que-acre-foi-irresponsavel-com-haitianos.html", "URL")</f>
        <v/>
      </c>
      <c r="K3050">
        <f>HYPERLINK("https://raw.githubusercontent.com/marcosmapl/dataset_imigrantes/main/noticias_filtered/g1/haitianos/2014/03_abr/html/g1_21750594-22fa-11ed-b24f-6dbe51e79fca_2200.html", "HTML")</f>
        <v/>
      </c>
      <c r="L3050">
        <f>HYPERLINK("https://raw.githubusercontent.com/marcosmapl/dataset_imigrantes/main/noticias_filtered/g1/haitianos/2014/03_abr/txt/g1_21750594-22fa-11ed-b24f-6dbe51e79fca_2200.txt", "TXT")</f>
        <v/>
      </c>
    </row>
    <row r="3051">
      <c r="A3051" s="1" t="n">
        <v>3049</v>
      </c>
      <c r="B3051" t="n">
        <v>2014</v>
      </c>
      <c r="C3051" s="2" t="n">
        <v>41753.27291666667</v>
      </c>
      <c r="D3051" t="inlineStr">
        <is>
          <t>G1</t>
        </is>
      </c>
      <c r="E3051" t="inlineStr">
        <is>
          <t>HAITIANOS</t>
        </is>
      </c>
      <c r="F3051" t="inlineStr"/>
      <c r="G3051" t="inlineStr">
        <is>
          <t>CIA MACEDODO G1 SÃO PAULO</t>
        </is>
      </c>
      <c r="H3051" t="inlineStr">
        <is>
          <t>PROPOSTAS DE EMPREGO MOBILIZAM HAITIANOS EM PÁTIO DE IGREJA EM SP</t>
        </is>
      </c>
      <c r="I3051" t="inlineStr"/>
      <c r="J3051">
        <f>HYPERLINK("http://g1.globo.com/sao-paulo/noticia/2014/04/propostas-de-emprego-mobilizam-haitianos-em-patio-de-igreja-em-sp.html", "URL")</f>
        <v/>
      </c>
      <c r="K3051">
        <f>HYPERLINK("https://raw.githubusercontent.com/marcosmapl/dataset_imigrantes/main/noticias_filtered/g1/haitianos/2014/03_abr/html/g1_17326e12-22ed-11ed-b24f-6dbe51e79fca_1678.html", "HTML")</f>
        <v/>
      </c>
      <c r="L3051">
        <f>HYPERLINK("https://raw.githubusercontent.com/marcosmapl/dataset_imigrantes/main/noticias_filtered/g1/haitianos/2014/03_abr/txt/g1_17326e12-22ed-11ed-b24f-6dbe51e79fca_1678.txt", "TXT")</f>
        <v/>
      </c>
    </row>
    <row r="3052">
      <c r="A3052" s="1" t="n">
        <v>3050</v>
      </c>
      <c r="B3052" t="n">
        <v>2014</v>
      </c>
      <c r="C3052" s="2" t="n">
        <v>41751.85138888889</v>
      </c>
      <c r="D3052" t="inlineStr">
        <is>
          <t>G1</t>
        </is>
      </c>
      <c r="E3052" t="inlineStr">
        <is>
          <t>HAITIANOS</t>
        </is>
      </c>
      <c r="F3052" t="inlineStr"/>
      <c r="G3052" t="inlineStr">
        <is>
          <t>A MACHADODO G1 SÃO PAULO</t>
        </is>
      </c>
      <c r="H3052" t="inlineStr">
        <is>
          <t>PARÓQUIA EM SP VIRA REFERÊNCIA PARA CENTENAS DE HAITIANOS VINDOS DO ACRE</t>
        </is>
      </c>
      <c r="I3052" t="inlineStr"/>
      <c r="J3052">
        <f>HYPERLINK("http://g1.globo.com/sao-paulo/noticia/2014/04/paroquia-em-sp-vira-referencia-para-centenas-de-haitianos-vindos-do-acre.html", "URL")</f>
        <v/>
      </c>
      <c r="K3052">
        <f>HYPERLINK("https://raw.githubusercontent.com/marcosmapl/dataset_imigrantes/main/noticias_filtered/g1/haitianos/2014/03_abr/html/g1_aaf7b586-22f6-11ed-b24f-6dbe51e79fca_2028.html", "HTML")</f>
        <v/>
      </c>
      <c r="L3052">
        <f>HYPERLINK("https://raw.githubusercontent.com/marcosmapl/dataset_imigrantes/main/noticias_filtered/g1/haitianos/2014/03_abr/txt/g1_aaf7b586-22f6-11ed-b24f-6dbe51e79fca_2028.txt", "TXT")</f>
        <v/>
      </c>
    </row>
    <row r="3053">
      <c r="A3053" s="1" t="n">
        <v>3051</v>
      </c>
      <c r="B3053" t="n">
        <v>2014</v>
      </c>
      <c r="C3053" s="2" t="n">
        <v>41751.29166666666</v>
      </c>
      <c r="D3053" t="inlineStr">
        <is>
          <t>G1</t>
        </is>
      </c>
      <c r="E3053" t="inlineStr">
        <is>
          <t>VENEZUELANOS</t>
        </is>
      </c>
      <c r="F3053" t="inlineStr"/>
      <c r="G3053" t="inlineStr"/>
      <c r="H3053" t="inlineStr">
        <is>
          <t>VENEZUELANAS ARRISCAM SAÚDE COM INJEÇÕES DE SILICONE NAS NÁDEGAS</t>
        </is>
      </c>
      <c r="I3053" t="inlineStr"/>
      <c r="J3053">
        <f>HYPERLINK("http://g1.globo.com/ciencia-e-saude/noticia/2014/04/venezuelanas-arriscam-saude-com-injecoes-de-silicone-nas-nadegas.html", "URL")</f>
        <v/>
      </c>
      <c r="K3053">
        <f>HYPERLINK("https://raw.githubusercontent.com/marcosmapl/dataset_imigrantes/main/noticias_filtered/g1/venezuelanos/2014/03_abr/html/g1_47b95774-2326-11ed-b24f-6dbe51e79fca_3966.html", "HTML")</f>
        <v/>
      </c>
      <c r="L3053">
        <f>HYPERLINK("https://raw.githubusercontent.com/marcosmapl/dataset_imigrantes/main/noticias_filtered/g1/venezuelanos/2014/03_abr/txt/g1_47b95774-2326-11ed-b24f-6dbe51e79fca_3966.txt", "TXT")</f>
        <v/>
      </c>
    </row>
    <row r="3054">
      <c r="A3054" s="1" t="n">
        <v>3052</v>
      </c>
      <c r="B3054" t="n">
        <v>2014</v>
      </c>
      <c r="C3054" s="2" t="n">
        <v>41749.45347222222</v>
      </c>
      <c r="D3054" t="inlineStr">
        <is>
          <t>G1</t>
        </is>
      </c>
      <c r="E3054" t="inlineStr">
        <is>
          <t>HAITIANOS</t>
        </is>
      </c>
      <c r="F3054" t="inlineStr"/>
      <c r="G3054" t="inlineStr">
        <is>
          <t>ANA RIBEIRODO G1 AC</t>
        </is>
      </c>
      <c r="H3054" t="inlineStr">
        <is>
          <t>NO ACRE DESDE 2010, PADRE HAITIANO É VOLUNTÁRIO EM ABRIGO DE IMIGRANTES</t>
        </is>
      </c>
      <c r="I3054" t="inlineStr"/>
      <c r="J3054">
        <f>HYPERLINK("http://g1.globo.com/ac/acre/noticia/2014/04/no-acre-desde-2010-padre-haitiano-e-voluntario-em-abrigo-de-imigrantes.html", "URL")</f>
        <v/>
      </c>
      <c r="K3054">
        <f>HYPERLINK("https://raw.githubusercontent.com/marcosmapl/dataset_imigrantes/main/noticias_filtered/g1/haitianos/2014/03_abr/html/g1_3a4331ac-2310-11ed-b24f-6dbe51e79fca_2847.html", "HTML")</f>
        <v/>
      </c>
      <c r="L3054">
        <f>HYPERLINK("https://raw.githubusercontent.com/marcosmapl/dataset_imigrantes/main/noticias_filtered/g1/haitianos/2014/03_abr/txt/g1_3a4331ac-2310-11ed-b24f-6dbe51e79fca_2847.txt", "TXT")</f>
        <v/>
      </c>
    </row>
    <row r="3055">
      <c r="A3055" s="1" t="n">
        <v>3053</v>
      </c>
      <c r="B3055" t="n">
        <v>2014</v>
      </c>
      <c r="C3055" s="2" t="n">
        <v>41744.83680555555</v>
      </c>
      <c r="D3055" t="inlineStr">
        <is>
          <t>G1</t>
        </is>
      </c>
      <c r="E3055" t="inlineStr">
        <is>
          <t>VENEZUELANOS</t>
        </is>
      </c>
      <c r="F3055" t="inlineStr"/>
      <c r="G3055" t="inlineStr">
        <is>
          <t>1 REGIÃO DOS LAGOS</t>
        </is>
      </c>
      <c r="H3055" t="inlineStr">
        <is>
          <t>VENEZUELANA RELATA MOMENTOS DE TERROR APÓS TENTATIVA DE ESTUPRO</t>
        </is>
      </c>
      <c r="I3055" t="inlineStr"/>
      <c r="J3055">
        <f>HYPERLINK("http://g1.globo.com/rj/regiao-dos-lagos/noticia/2014/04/venezuelana-relata-momentos-de-terror-apos-tentativa-de-estupro.html", "URL")</f>
        <v/>
      </c>
      <c r="K3055">
        <f>HYPERLINK("https://raw.githubusercontent.com/marcosmapl/dataset_imigrantes/main/noticias_filtered/g1/venezuelanos/2014/03_abr/html/g1_db8d1cf8-2315-11ed-b24f-6dbe51e79fca_3110.html", "HTML")</f>
        <v/>
      </c>
      <c r="L3055">
        <f>HYPERLINK("https://raw.githubusercontent.com/marcosmapl/dataset_imigrantes/main/noticias_filtered/g1/venezuelanos/2014/03_abr/txt/g1_db8d1cf8-2315-11ed-b24f-6dbe51e79fca_3110.txt", "TXT")</f>
        <v/>
      </c>
    </row>
    <row r="3056">
      <c r="A3056" s="1" t="n">
        <v>3054</v>
      </c>
      <c r="B3056" t="n">
        <v>2014</v>
      </c>
      <c r="C3056" s="2" t="n">
        <v>41744.67569444444</v>
      </c>
      <c r="D3056" t="inlineStr">
        <is>
          <t>G1</t>
        </is>
      </c>
      <c r="E3056" t="inlineStr">
        <is>
          <t>HAITIANOS</t>
        </is>
      </c>
      <c r="F3056" t="inlineStr"/>
      <c r="G3056" t="inlineStr">
        <is>
          <t>YANA ARAÚJODO G1 MT</t>
        </is>
      </c>
      <c r="H3056" t="inlineStr">
        <is>
          <t>MAIS DE 2 MIL HAITIANOS MIGRAM PARA CUIABÁ EM BUSCA DE TRABALHO</t>
        </is>
      </c>
      <c r="I3056" t="inlineStr"/>
      <c r="J3056">
        <f>HYPERLINK("http://g1.globo.com/mato-grosso/noticia/2014/04/mais-de-2-mil-haitianos-migram-para-cuiaba-em-busca-de-trabalho.html", "URL")</f>
        <v/>
      </c>
      <c r="K3056">
        <f>HYPERLINK("https://raw.githubusercontent.com/marcosmapl/dataset_imigrantes/main/noticias_filtered/g1/haitianos/2014/03_abr/html/g1_244a0346-22fa-11ed-b24f-6dbe51e79fca_2201.html", "HTML")</f>
        <v/>
      </c>
      <c r="L3056">
        <f>HYPERLINK("https://raw.githubusercontent.com/marcosmapl/dataset_imigrantes/main/noticias_filtered/g1/haitianos/2014/03_abr/txt/g1_244a0346-22fa-11ed-b24f-6dbe51e79fca_2201.txt", "TXT")</f>
        <v/>
      </c>
    </row>
    <row r="3057">
      <c r="A3057" s="1" t="n">
        <v>3055</v>
      </c>
      <c r="B3057" t="n">
        <v>2014</v>
      </c>
      <c r="C3057" s="2" t="n">
        <v>41743.625</v>
      </c>
      <c r="D3057" t="inlineStr">
        <is>
          <t>G1</t>
        </is>
      </c>
      <c r="E3057" t="inlineStr">
        <is>
          <t>VENEZUELANOS</t>
        </is>
      </c>
      <c r="F3057" t="inlineStr"/>
      <c r="G3057" t="inlineStr">
        <is>
          <t>FE</t>
        </is>
      </c>
      <c r="H3057" t="inlineStr">
        <is>
          <t>SEQUESTRO DE JORNALISTA VENEZUELANA PODE TER SIDO POLÍTICO, DIZ MINISTRO</t>
        </is>
      </c>
      <c r="I3057" t="inlineStr"/>
      <c r="J3057">
        <f>HYPERLINK("http://g1.globo.com/mundo/noticia/2014/04/sequestro-de-jornalista-venezuelana-pode-ter-sido-politico-diz-ministro.html", "URL")</f>
        <v/>
      </c>
      <c r="K3057">
        <f>HYPERLINK("https://raw.githubusercontent.com/marcosmapl/dataset_imigrantes/main/noticias_filtered/g1/venezuelanos/2014/03_abr/html/g1_e5a66e8a-231d-11ed-b24f-6dbe51e79fca_3527.html", "HTML")</f>
        <v/>
      </c>
      <c r="L3057">
        <f>HYPERLINK("https://raw.githubusercontent.com/marcosmapl/dataset_imigrantes/main/noticias_filtered/g1/venezuelanos/2014/03_abr/txt/g1_e5a66e8a-231d-11ed-b24f-6dbe51e79fca_3527.txt", "TXT")</f>
        <v/>
      </c>
    </row>
    <row r="3058">
      <c r="A3058" s="1" t="n">
        <v>3056</v>
      </c>
      <c r="B3058" t="n">
        <v>2014</v>
      </c>
      <c r="C3058" s="2" t="n">
        <v>41743.45833333334</v>
      </c>
      <c r="D3058" t="inlineStr">
        <is>
          <t>G1</t>
        </is>
      </c>
      <c r="E3058" t="inlineStr">
        <is>
          <t>VENEZUELANOS</t>
        </is>
      </c>
      <c r="F3058" t="inlineStr"/>
      <c r="G3058" t="inlineStr">
        <is>
          <t>RANCE PRESSE</t>
        </is>
      </c>
      <c r="H3058" t="inlineStr">
        <is>
          <t>JORNALISTA VENEZUELANA É ENCONTRADA APÓS PASSAR OITO DIAS SEQUESTRADA</t>
        </is>
      </c>
      <c r="I3058" t="inlineStr"/>
      <c r="J3058">
        <f>HYPERLINK("http://g1.globo.com/mundo/noticia/2014/04/jornalista-venezuelana-e-encontrada-apos-passar-oito-dias-sequestrada.html", "URL")</f>
        <v/>
      </c>
      <c r="K3058">
        <f>HYPERLINK("https://raw.githubusercontent.com/marcosmapl/dataset_imigrantes/main/noticias_filtered/g1/venezuelanos/2014/03_abr/html/g1_19518986-231e-11ed-b24f-6dbe51e79fca_3540.html", "HTML")</f>
        <v/>
      </c>
      <c r="L3058">
        <f>HYPERLINK("https://raw.githubusercontent.com/marcosmapl/dataset_imigrantes/main/noticias_filtered/g1/venezuelanos/2014/03_abr/txt/g1_19518986-231e-11ed-b24f-6dbe51e79fca_3540.txt", "TXT")</f>
        <v/>
      </c>
    </row>
    <row r="3059">
      <c r="A3059" s="1" t="n">
        <v>3057</v>
      </c>
      <c r="B3059" t="n">
        <v>2014</v>
      </c>
      <c r="C3059" s="2" t="n">
        <v>41740.79166666666</v>
      </c>
      <c r="D3059" t="inlineStr">
        <is>
          <t>G1</t>
        </is>
      </c>
      <c r="E3059" t="inlineStr">
        <is>
          <t>VENEZUELANOS</t>
        </is>
      </c>
      <c r="F3059" t="inlineStr"/>
      <c r="G3059" t="inlineStr">
        <is>
          <t>FP</t>
        </is>
      </c>
      <c r="H3059" t="inlineStr">
        <is>
          <t>OPOSITORA VENEZUELANA REAFIRMA QUE NÃO PARTICIPARÁ DE NEGOCIAÇÕES</t>
        </is>
      </c>
      <c r="I3059" t="inlineStr"/>
      <c r="J3059">
        <f>HYPERLINK("http://g1.globo.com/mundo/noticia/2014/04/opositora-venezuelana-reafirma-que-nao-participara-de-negociacoes.html", "URL")</f>
        <v/>
      </c>
      <c r="K3059">
        <f>HYPERLINK("https://raw.githubusercontent.com/marcosmapl/dataset_imigrantes/main/noticias_filtered/g1/venezuelanos/2014/03_abr/html/g1_963830b6-2329-11ed-b24f-6dbe51e79fca_4126.html", "HTML")</f>
        <v/>
      </c>
      <c r="L3059">
        <f>HYPERLINK("https://raw.githubusercontent.com/marcosmapl/dataset_imigrantes/main/noticias_filtered/g1/venezuelanos/2014/03_abr/txt/g1_963830b6-2329-11ed-b24f-6dbe51e79fca_4126.txt", "TXT")</f>
        <v/>
      </c>
    </row>
    <row r="3060">
      <c r="A3060" s="1" t="n">
        <v>3058</v>
      </c>
      <c r="B3060" t="n">
        <v>2014</v>
      </c>
      <c r="C3060" s="2" t="n">
        <v>41740.59148148148</v>
      </c>
      <c r="D3060" t="inlineStr">
        <is>
          <t>A CRITICA</t>
        </is>
      </c>
      <c r="E3060" t="inlineStr">
        <is>
          <t>VENEZUELANOS</t>
        </is>
      </c>
      <c r="F3060" t="inlineStr"/>
      <c r="G3060" t="inlineStr">
        <is>
          <t>JORNAL A CRÍTICA</t>
        </is>
      </c>
      <c r="H3060" t="inlineStr">
        <is>
          <t>EXPORTAÇÕES DO AMAZONAS REGISTRAM QUEDA DE 4,57% NO PRIMEIRO TRIMESTRE DE 2014</t>
        </is>
      </c>
      <c r="I3060" t="inlineStr">
        <is>
          <t>PRINCIPAL ‘VILÃ’ DA QUEDA REGISTRADA EM 2014 FOI REDUÇÃO DO COMÉRCIO COM A VENEZUELA. O VOLUME EXPORTADO POR EMPRESAS NO AMAZONAS FOI DE US$ 234,22 MILHÕES</t>
        </is>
      </c>
      <c r="J3060">
        <f>HYPERLINK("https://www.acritica.com/exportac-es-do-amazonas-registram-queda-de-4-57-no-primeiro-trimestre-de-2014-1.150872", "URL")</f>
        <v/>
      </c>
      <c r="K3060">
        <f>HYPERLINK("https://raw.githubusercontent.com/marcosmapl/dataset_imigrantes/main/noticias_filtered/a_critica/venezuelanos/2014/03_abr/html/1.150872_144.html", "HTML")</f>
        <v/>
      </c>
      <c r="L3060">
        <f>HYPERLINK("https://raw.githubusercontent.com/marcosmapl/dataset_imigrantes/main/noticias_filtered/a_critica/venezuelanos/2014/03_abr/txt/1.150872_144.txt", "TXT")</f>
        <v/>
      </c>
    </row>
    <row r="3061">
      <c r="A3061" s="1" t="n">
        <v>3059</v>
      </c>
      <c r="B3061" t="n">
        <v>2014</v>
      </c>
      <c r="C3061" s="2" t="n">
        <v>41738.04513888889</v>
      </c>
      <c r="D3061" t="inlineStr">
        <is>
          <t>G1</t>
        </is>
      </c>
      <c r="E3061" t="inlineStr">
        <is>
          <t>VENEZUELANOS</t>
        </is>
      </c>
      <c r="F3061" t="inlineStr"/>
      <c r="G3061" t="inlineStr">
        <is>
          <t>RANCE PRESSE</t>
        </is>
      </c>
      <c r="H3061" t="inlineStr">
        <is>
          <t>MADURO DESCARTA 'NEGOCIAÇÃO' COM OPOSIÇÃO VENEZUELANA</t>
        </is>
      </c>
      <c r="I3061" t="inlineStr"/>
      <c r="J3061">
        <f>HYPERLINK("http://g1.globo.com/mundo/noticia/2014/04/maduro-descarta-negociacao-com-oposicao-venezuelana.html", "URL")</f>
        <v/>
      </c>
      <c r="K3061">
        <f>HYPERLINK("https://raw.githubusercontent.com/marcosmapl/dataset_imigrantes/main/noticias_filtered/g1/venezuelanos/2014/03_abr/html/g1_bdbd413e-230c-11ed-b24f-6dbe51e79fca_2644.html", "HTML")</f>
        <v/>
      </c>
      <c r="L3061">
        <f>HYPERLINK("https://raw.githubusercontent.com/marcosmapl/dataset_imigrantes/main/noticias_filtered/g1/venezuelanos/2014/03_abr/txt/g1_bdbd413e-230c-11ed-b24f-6dbe51e79fca_2644.txt", "TXT")</f>
        <v/>
      </c>
    </row>
    <row r="3062">
      <c r="A3062" s="1" t="n">
        <v>3060</v>
      </c>
      <c r="B3062" t="n">
        <v>2014</v>
      </c>
      <c r="C3062" s="2" t="n">
        <v>41736.76041666666</v>
      </c>
      <c r="D3062" t="inlineStr">
        <is>
          <t>G1</t>
        </is>
      </c>
      <c r="E3062" t="inlineStr">
        <is>
          <t>VENEZUELANOS</t>
        </is>
      </c>
      <c r="F3062" t="inlineStr"/>
      <c r="G3062" t="inlineStr">
        <is>
          <t>1, EM SÃO PAULO</t>
        </is>
      </c>
      <c r="H3062" t="inlineStr">
        <is>
          <t>A PEDIDO DA UNASUL, MADURO ACEITA SE REUNIR COM OPOSIÇÃO VENEZUELANA</t>
        </is>
      </c>
      <c r="I3062" t="inlineStr"/>
      <c r="J3062">
        <f>HYPERLINK("http://g1.globo.com/mundo/noticia/2014/04/maduro-aceita-se-reunir-com-oposicao-pedido-da-unasul.html", "URL")</f>
        <v/>
      </c>
      <c r="K3062">
        <f>HYPERLINK("https://raw.githubusercontent.com/marcosmapl/dataset_imigrantes/main/noticias_filtered/g1/venezuelanos/2014/03_abr/html/g1_7db8c47c-2321-11ed-b24f-6dbe51e79fca_3703.html", "HTML")</f>
        <v/>
      </c>
      <c r="L3062">
        <f>HYPERLINK("https://raw.githubusercontent.com/marcosmapl/dataset_imigrantes/main/noticias_filtered/g1/venezuelanos/2014/03_abr/txt/g1_7db8c47c-2321-11ed-b24f-6dbe51e79fca_3703.txt", "TXT")</f>
        <v/>
      </c>
    </row>
    <row r="3063">
      <c r="A3063" s="1" t="n">
        <v>3061</v>
      </c>
      <c r="B3063" t="n">
        <v>2014</v>
      </c>
      <c r="C3063" s="2" t="n">
        <v>41735.49375</v>
      </c>
      <c r="D3063" t="inlineStr">
        <is>
          <t>G1</t>
        </is>
      </c>
      <c r="E3063" t="inlineStr">
        <is>
          <t>HAITIANOS</t>
        </is>
      </c>
      <c r="F3063" t="inlineStr"/>
      <c r="G3063" t="inlineStr">
        <is>
          <t>1 AC</t>
        </is>
      </c>
      <c r="H3063" t="inlineStr">
        <is>
          <t>VOCÊ VIU? ALUNO FERE POLICIAL, HAITIANOS SAEM DO ACRE E MAIS NOTÍCIAS</t>
        </is>
      </c>
      <c r="I3063" t="inlineStr"/>
      <c r="J3063">
        <f>HYPERLINK("http://g1.globo.com/ac/acre/noticia/2014/04/voce-viu-aluno-fere-policial-haitianos-saem-do-acre-e-mais-noticias.html", "URL")</f>
        <v/>
      </c>
      <c r="K3063">
        <f>HYPERLINK("https://raw.githubusercontent.com/marcosmapl/dataset_imigrantes/main/noticias_filtered/g1/haitianos/2014/03_abr/html/g1_9643d9a6-22f8-11ed-b24f-6dbe51e79fca_2145.html", "HTML")</f>
        <v/>
      </c>
      <c r="L3063">
        <f>HYPERLINK("https://raw.githubusercontent.com/marcosmapl/dataset_imigrantes/main/noticias_filtered/g1/haitianos/2014/03_abr/txt/g1_9643d9a6-22f8-11ed-b24f-6dbe51e79fca_2145.txt", "TXT")</f>
        <v/>
      </c>
    </row>
    <row r="3064">
      <c r="A3064" s="1" t="n">
        <v>3062</v>
      </c>
      <c r="B3064" t="n">
        <v>2014</v>
      </c>
      <c r="C3064" s="2" t="n">
        <v>41733.88541666666</v>
      </c>
      <c r="D3064" t="inlineStr">
        <is>
          <t>G1</t>
        </is>
      </c>
      <c r="E3064" t="inlineStr">
        <is>
          <t>VENEZUELANOS</t>
        </is>
      </c>
      <c r="F3064" t="inlineStr"/>
      <c r="G3064" t="inlineStr">
        <is>
          <t>FP</t>
        </is>
      </c>
      <c r="H3064" t="inlineStr">
        <is>
          <t>OPOSIÇÃO VENEZUELANA EXIGE LIBERDADE PARA OPOSITOR LÓPEZ</t>
        </is>
      </c>
      <c r="I3064" t="inlineStr"/>
      <c r="J3064">
        <f>HYPERLINK("http://g1.globo.com/mundo/noticia/2014/04/oposicao-venezuelana-exige-liberdade-para-opositor-lopez.html", "URL")</f>
        <v/>
      </c>
      <c r="K3064">
        <f>HYPERLINK("https://raw.githubusercontent.com/marcosmapl/dataset_imigrantes/main/noticias_filtered/g1/venezuelanos/2014/03_abr/html/g1_0ce9fcbe-230a-11ed-b24f-6dbe51e79fca_2482.html", "HTML")</f>
        <v/>
      </c>
      <c r="L3064">
        <f>HYPERLINK("https://raw.githubusercontent.com/marcosmapl/dataset_imigrantes/main/noticias_filtered/g1/venezuelanos/2014/03_abr/txt/g1_0ce9fcbe-230a-11ed-b24f-6dbe51e79fca_2482.txt", "TXT")</f>
        <v/>
      </c>
    </row>
    <row r="3065">
      <c r="A3065" s="1" t="n">
        <v>3063</v>
      </c>
      <c r="B3065" t="n">
        <v>2014</v>
      </c>
      <c r="C3065" s="2" t="n">
        <v>41732.56458333333</v>
      </c>
      <c r="D3065" t="inlineStr">
        <is>
          <t>G1</t>
        </is>
      </c>
      <c r="E3065" t="inlineStr">
        <is>
          <t>HAITIANOS</t>
        </is>
      </c>
      <c r="F3065" t="inlineStr"/>
      <c r="G3065" t="inlineStr">
        <is>
          <t>TA MUNIZDO G1 AC</t>
        </is>
      </c>
      <c r="H3065" t="inlineStr">
        <is>
          <t>MORADOR FAZ ABAIXO-ASSINADO E COBRA SOLUÇÃO PARA ENTRADA DE HAITIANOS</t>
        </is>
      </c>
      <c r="I3065" t="inlineStr"/>
      <c r="J3065">
        <f>HYPERLINK("http://g1.globo.com/ac/acre/noticia/2014/04/morador-faz-abaixo-assinado-e-cobra-solucao-para-entrada-de-haitianos.html", "URL")</f>
        <v/>
      </c>
      <c r="K3065">
        <f>HYPERLINK("https://raw.githubusercontent.com/marcosmapl/dataset_imigrantes/main/noticias_filtered/g1/haitianos/2014/03_abr/html/g1_614c8764-22f5-11ed-b24f-6dbe51e79fca_1945.html", "HTML")</f>
        <v/>
      </c>
      <c r="L3065">
        <f>HYPERLINK("https://raw.githubusercontent.com/marcosmapl/dataset_imigrantes/main/noticias_filtered/g1/haitianos/2014/03_abr/txt/g1_614c8764-22f5-11ed-b24f-6dbe51e79fca_1945.txt", "TXT")</f>
        <v/>
      </c>
    </row>
    <row r="3066">
      <c r="A3066" s="1" t="n">
        <v>3064</v>
      </c>
      <c r="B3066" t="n">
        <v>2014</v>
      </c>
      <c r="C3066" s="2" t="n">
        <v>41731.91875</v>
      </c>
      <c r="D3066" t="inlineStr">
        <is>
          <t>G1</t>
        </is>
      </c>
      <c r="E3066" t="inlineStr">
        <is>
          <t>VENEZUELANOS</t>
        </is>
      </c>
      <c r="F3066" t="inlineStr"/>
      <c r="G3066" t="inlineStr"/>
      <c r="H3066" t="inlineStr">
        <is>
          <t>DEPUTADA VENEZUELANA COM MANDATO CASSADO É APLAUDIDA EM BRASÍLIA</t>
        </is>
      </c>
      <c r="I3066" t="inlineStr"/>
      <c r="J3066">
        <f>HYPERLINK("http://g1.globo.com/jornal-nacional/noticia/2014/04/deputada-venezuelana-com-mandato-cassado-e-aplaudida-em-brasilia.html", "URL")</f>
        <v/>
      </c>
      <c r="K3066">
        <f>HYPERLINK("https://raw.githubusercontent.com/marcosmapl/dataset_imigrantes/main/noticias_filtered/g1/venezuelanos/2014/03_abr/html/g1_5dda0fe2-2319-11ed-b24f-6dbe51e79fca_3313.html", "HTML")</f>
        <v/>
      </c>
      <c r="L3066">
        <f>HYPERLINK("https://raw.githubusercontent.com/marcosmapl/dataset_imigrantes/main/noticias_filtered/g1/venezuelanos/2014/03_abr/txt/g1_5dda0fe2-2319-11ed-b24f-6dbe51e79fca_3313.txt", "TXT")</f>
        <v/>
      </c>
    </row>
    <row r="3067">
      <c r="A3067" s="1" t="n">
        <v>3065</v>
      </c>
      <c r="B3067" t="n">
        <v>2014</v>
      </c>
      <c r="C3067" s="2" t="n">
        <v>41731.64305555556</v>
      </c>
      <c r="D3067" t="inlineStr">
        <is>
          <t>G1</t>
        </is>
      </c>
      <c r="E3067" t="inlineStr">
        <is>
          <t>VENEZUELANOS</t>
        </is>
      </c>
      <c r="F3067" t="inlineStr"/>
      <c r="G3067" t="inlineStr">
        <is>
          <t>PE MATOSODO G1, EM BRASÍLIA</t>
        </is>
      </c>
      <c r="H3067" t="inlineStr">
        <is>
          <t>EX-DEPUTADA VENEZUELANA DIZ QUE SEU PAÍS VIVE REGIME 'SEM ESCRÚPULOS'</t>
        </is>
      </c>
      <c r="I3067" t="inlineStr"/>
      <c r="J3067">
        <f>HYPERLINK("http://g1.globo.com/politica/noticia/2014/04/ex-deputada-venezuelana-diz-que-seu-pais-vive-regime-sem-escrupulos.html", "URL")</f>
        <v/>
      </c>
      <c r="K3067">
        <f>HYPERLINK("https://raw.githubusercontent.com/marcosmapl/dataset_imigrantes/main/noticias_filtered/g1/venezuelanos/2014/03_abr/html/g1_0c5555e2-2318-11ed-b24f-6dbe51e79fca_3241.html", "HTML")</f>
        <v/>
      </c>
      <c r="L3067">
        <f>HYPERLINK("https://raw.githubusercontent.com/marcosmapl/dataset_imigrantes/main/noticias_filtered/g1/venezuelanos/2014/03_abr/txt/g1_0c5555e2-2318-11ed-b24f-6dbe51e79fca_3241.txt", "TXT")</f>
        <v/>
      </c>
    </row>
    <row r="3068">
      <c r="A3068" s="1" t="n">
        <v>3066</v>
      </c>
      <c r="B3068" t="n">
        <v>2014</v>
      </c>
      <c r="C3068" s="2" t="n">
        <v>41731.2875</v>
      </c>
      <c r="D3068" t="inlineStr">
        <is>
          <t>G1</t>
        </is>
      </c>
      <c r="E3068" t="inlineStr">
        <is>
          <t>HAITIANOS</t>
        </is>
      </c>
      <c r="F3068" t="inlineStr"/>
      <c r="G3068" t="inlineStr">
        <is>
          <t xml:space="preserve"> TORRESDO G1 CAMPINAS E REGIÃO</t>
        </is>
      </c>
      <c r="H3068" t="inlineStr">
        <is>
          <t>FALHA EM PROGRAMA FEDERAL ATRASA ESTUDO DE HAITIANOS NA UNICAMP</t>
        </is>
      </c>
      <c r="I3068" t="inlineStr"/>
      <c r="J3068">
        <f>HYPERLINK("http://g1.globo.com/sp/campinas-regiao/noticia/2014/04/falha-em-programa-federal-atrasa-estudo-de-haitianos-na-unicamp.html", "URL")</f>
        <v/>
      </c>
      <c r="K3068">
        <f>HYPERLINK("https://raw.githubusercontent.com/marcosmapl/dataset_imigrantes/main/noticias_filtered/g1/haitianos/2014/03_abr/html/g1_14c0d56c-22f5-11ed-b24f-6dbe51e79fca_1929.html", "HTML")</f>
        <v/>
      </c>
      <c r="L3068">
        <f>HYPERLINK("https://raw.githubusercontent.com/marcosmapl/dataset_imigrantes/main/noticias_filtered/g1/haitianos/2014/03_abr/txt/g1_14c0d56c-22f5-11ed-b24f-6dbe51e79fca_1929.txt", "TXT")</f>
        <v/>
      </c>
    </row>
    <row r="3069">
      <c r="A3069" s="1" t="n">
        <v>3067</v>
      </c>
      <c r="B3069" t="n">
        <v>2014</v>
      </c>
      <c r="C3069" s="2" t="n">
        <v>41730.78680555556</v>
      </c>
      <c r="D3069" t="inlineStr">
        <is>
          <t>G1</t>
        </is>
      </c>
      <c r="E3069" t="inlineStr">
        <is>
          <t>HAITIANOS</t>
        </is>
      </c>
      <c r="F3069" t="inlineStr"/>
      <c r="G3069" t="inlineStr">
        <is>
          <t>NE BRASIL E YURI MARCELDO G1 AC</t>
        </is>
      </c>
      <c r="H3069" t="inlineStr">
        <is>
          <t>HAITIANOS DEIXAM O ACRE EM AVIÕES  FRETADOS PELO GOVERNO</t>
        </is>
      </c>
      <c r="I3069" t="inlineStr"/>
      <c r="J3069">
        <f>HYPERLINK("http://g1.globo.com/ac/acre/noticia/2014/04/haitianos-deixam-o-acre-em-avioes-fretados-pelo-governo.html", "URL")</f>
        <v/>
      </c>
      <c r="K3069">
        <f>HYPERLINK("https://raw.githubusercontent.com/marcosmapl/dataset_imigrantes/main/noticias_filtered/g1/haitianos/2014/03_abr/html/g1_2b1a18f4-22f1-11ed-b24f-6dbe51e79fca_1738.html", "HTML")</f>
        <v/>
      </c>
      <c r="L3069">
        <f>HYPERLINK("https://raw.githubusercontent.com/marcosmapl/dataset_imigrantes/main/noticias_filtered/g1/haitianos/2014/03_abr/txt/g1_2b1a18f4-22f1-11ed-b24f-6dbe51e79fca_1738.txt", "TXT")</f>
        <v/>
      </c>
    </row>
    <row r="3070">
      <c r="A3070" s="1" t="n">
        <v>3068</v>
      </c>
      <c r="B3070" t="n">
        <v>2014</v>
      </c>
      <c r="C3070" s="2" t="n">
        <v>41729.62986111111</v>
      </c>
      <c r="D3070" t="inlineStr">
        <is>
          <t>G1</t>
        </is>
      </c>
      <c r="E3070" t="inlineStr">
        <is>
          <t>HAITIANOS</t>
        </is>
      </c>
      <c r="F3070" t="inlineStr"/>
      <c r="G3070" t="inlineStr">
        <is>
          <t>DA BORGESDO G1 AC</t>
        </is>
      </c>
      <c r="H3070" t="inlineStr">
        <is>
          <t>IMIGRANTES SÃO ACUSADOS DE ROUBAR HOMEM EM PONTE DE BRASILÉIA</t>
        </is>
      </c>
      <c r="I3070" t="inlineStr"/>
      <c r="J3070">
        <f>HYPERLINK("http://g1.globo.com/ac/acre/noticia/2014/03/imigrantes-sao-acusados-de-roubar-homem-em-ponte-de-brasileia.html", "URL")</f>
        <v/>
      </c>
      <c r="K3070">
        <f>HYPERLINK("https://raw.githubusercontent.com/marcosmapl/dataset_imigrantes/main/noticias_filtered/g1/haitianos/2014/02_mar/html/g1_52084024-2325-11ed-b24f-6dbe51e79fca_3907.html", "HTML")</f>
        <v/>
      </c>
      <c r="L3070">
        <f>HYPERLINK("https://raw.githubusercontent.com/marcosmapl/dataset_imigrantes/main/noticias_filtered/g1/haitianos/2014/02_mar/txt/g1_52084024-2325-11ed-b24f-6dbe51e79fca_3907.txt", "TXT")</f>
        <v/>
      </c>
    </row>
    <row r="3071">
      <c r="A3071" s="1" t="n">
        <v>3069</v>
      </c>
      <c r="B3071" t="n">
        <v>2014</v>
      </c>
      <c r="C3071" s="2" t="n">
        <v>41726.93402777778</v>
      </c>
      <c r="D3071" t="inlineStr">
        <is>
          <t>G1</t>
        </is>
      </c>
      <c r="E3071" t="inlineStr">
        <is>
          <t>VENEZUELANOS</t>
        </is>
      </c>
      <c r="F3071" t="inlineStr"/>
      <c r="G3071" t="inlineStr">
        <is>
          <t>GÊNCIA EFE</t>
        </is>
      </c>
      <c r="H3071" t="inlineStr">
        <is>
          <t>AUTORIDADES VENEZUELANAS PRENDEM DOIS SUPOSTOS TRAFICANTES BRASILEIROS</t>
        </is>
      </c>
      <c r="I3071" t="inlineStr"/>
      <c r="J3071">
        <f>HYPERLINK("http://g1.globo.com/mundo/noticia/2014/03/autoridades-venezuelanas-prendem-dois-supostos-traficantes-brasileiros.html", "URL")</f>
        <v/>
      </c>
      <c r="K3071">
        <f>HYPERLINK("https://raw.githubusercontent.com/marcosmapl/dataset_imigrantes/main/noticias_filtered/g1/venezuelanos/2014/02_mar/html/g1_edeb732a-230d-11ed-b24f-6dbe51e79fca_2713.html", "HTML")</f>
        <v/>
      </c>
      <c r="L3071">
        <f>HYPERLINK("https://raw.githubusercontent.com/marcosmapl/dataset_imigrantes/main/noticias_filtered/g1/venezuelanos/2014/02_mar/txt/g1_edeb732a-230d-11ed-b24f-6dbe51e79fca_2713.txt", "TXT")</f>
        <v/>
      </c>
    </row>
    <row r="3072">
      <c r="A3072" s="1" t="n">
        <v>3070</v>
      </c>
      <c r="B3072" t="n">
        <v>2014</v>
      </c>
      <c r="C3072" s="2" t="n">
        <v>41723.77638888889</v>
      </c>
      <c r="D3072" t="inlineStr">
        <is>
          <t>G1</t>
        </is>
      </c>
      <c r="E3072" t="inlineStr">
        <is>
          <t>HAITIANOS</t>
        </is>
      </c>
      <c r="F3072" t="inlineStr"/>
      <c r="G3072" t="inlineStr">
        <is>
          <t>DA BORGESDO G1 AC</t>
        </is>
      </c>
      <c r="H3072" t="inlineStr">
        <is>
          <t>HAITIANOS DORMEM EM CHÃO DE AEROPORTO EM RIO BRANCO</t>
        </is>
      </c>
      <c r="I3072" t="inlineStr"/>
      <c r="J3072">
        <f>HYPERLINK("http://g1.globo.com/ac/acre/noticia/2014/03/haitianos-dormem-em-chao-de-aeroporto-em-rio-branco.html", "URL")</f>
        <v/>
      </c>
      <c r="K3072">
        <f>HYPERLINK("https://raw.githubusercontent.com/marcosmapl/dataset_imigrantes/main/noticias_filtered/g1/haitianos/2014/02_mar/html/g1_8423bfbc-22f2-11ed-b24f-6dbe51e79fca_1802.html", "HTML")</f>
        <v/>
      </c>
      <c r="L3072">
        <f>HYPERLINK("https://raw.githubusercontent.com/marcosmapl/dataset_imigrantes/main/noticias_filtered/g1/haitianos/2014/02_mar/txt/g1_8423bfbc-22f2-11ed-b24f-6dbe51e79fca_1802.txt", "TXT")</f>
        <v/>
      </c>
    </row>
    <row r="3073">
      <c r="A3073" s="1" t="n">
        <v>3071</v>
      </c>
      <c r="B3073" t="n">
        <v>2014</v>
      </c>
      <c r="C3073" s="2" t="n">
        <v>41723.51041666666</v>
      </c>
      <c r="D3073" t="inlineStr">
        <is>
          <t>G1</t>
        </is>
      </c>
      <c r="E3073" t="inlineStr">
        <is>
          <t>VENEZUELANOS</t>
        </is>
      </c>
      <c r="F3073" t="inlineStr"/>
      <c r="G3073" t="inlineStr">
        <is>
          <t>FE</t>
        </is>
      </c>
      <c r="H3073" t="inlineStr">
        <is>
          <t>SUPOSTO INCÊNDIO CRIMINOSO DEIXA PARTE DA CAPITAL VENEZUELANA SEM LUZ</t>
        </is>
      </c>
      <c r="I3073" t="inlineStr"/>
      <c r="J3073">
        <f>HYPERLINK("http://g1.globo.com/mundo/noticia/2014/03/suposto-incendio-criminoso-deixa-parte-da-capital-venezuelana-sem-luz.html", "URL")</f>
        <v/>
      </c>
      <c r="K3073">
        <f>HYPERLINK("https://raw.githubusercontent.com/marcosmapl/dataset_imigrantes/main/noticias_filtered/g1/venezuelanos/2014/02_mar/html/g1_4a20c888-2328-11ed-b24f-6dbe51e79fca_4071.html", "HTML")</f>
        <v/>
      </c>
      <c r="L3073">
        <f>HYPERLINK("https://raw.githubusercontent.com/marcosmapl/dataset_imigrantes/main/noticias_filtered/g1/venezuelanos/2014/02_mar/txt/g1_4a20c888-2328-11ed-b24f-6dbe51e79fca_4071.txt", "TXT")</f>
        <v/>
      </c>
    </row>
    <row r="3074">
      <c r="A3074" s="1" t="n">
        <v>3072</v>
      </c>
      <c r="B3074" t="n">
        <v>2014</v>
      </c>
      <c r="C3074" s="2" t="n">
        <v>41722.63541666666</v>
      </c>
      <c r="D3074" t="inlineStr">
        <is>
          <t>G1</t>
        </is>
      </c>
      <c r="E3074" t="inlineStr">
        <is>
          <t>VENEZUELANOS</t>
        </is>
      </c>
      <c r="F3074" t="inlineStr"/>
      <c r="G3074" t="inlineStr">
        <is>
          <t>RANCE PRESSE</t>
        </is>
      </c>
      <c r="H3074" t="inlineStr">
        <is>
          <t>DEPUTADA DE OPOSIÇÃO VENEZUELANA PERDE MANDATO APÓS IR À OEA</t>
        </is>
      </c>
      <c r="I3074" t="inlineStr"/>
      <c r="J3074">
        <f>HYPERLINK("http://g1.globo.com/mundo/noticia/2014/03/opositora-venezuelana-perde-mandato-apos-ir-a-oea-1.html", "URL")</f>
        <v/>
      </c>
      <c r="K3074">
        <f>HYPERLINK("https://raw.githubusercontent.com/marcosmapl/dataset_imigrantes/main/noticias_filtered/g1/venezuelanos/2014/02_mar/html/g1_999e5942-230b-11ed-b24f-6dbe51e79fca_2574.html", "HTML")</f>
        <v/>
      </c>
      <c r="L3074">
        <f>HYPERLINK("https://raw.githubusercontent.com/marcosmapl/dataset_imigrantes/main/noticias_filtered/g1/venezuelanos/2014/02_mar/txt/g1_999e5942-230b-11ed-b24f-6dbe51e79fca_2574.txt", "TXT")</f>
        <v/>
      </c>
    </row>
    <row r="3075">
      <c r="A3075" s="1" t="n">
        <v>3073</v>
      </c>
      <c r="B3075" t="n">
        <v>2014</v>
      </c>
      <c r="C3075" s="2" t="n">
        <v>41722.56388888889</v>
      </c>
      <c r="D3075" t="inlineStr">
        <is>
          <t>G1</t>
        </is>
      </c>
      <c r="E3075" t="inlineStr">
        <is>
          <t>HAITIANOS</t>
        </is>
      </c>
      <c r="F3075" t="inlineStr"/>
      <c r="G3075" t="inlineStr">
        <is>
          <t>TA MUNIZDO G1 AC</t>
        </is>
      </c>
      <c r="H3075" t="inlineStr">
        <is>
          <t>BRIGA ENTRE HAITIANOS E SENEGALESES DEIXA UM FERIDO NO INTERIOR DO AC</t>
        </is>
      </c>
      <c r="I3075" t="inlineStr"/>
      <c r="J3075">
        <f>HYPERLINK("http://g1.globo.com/ac/acre/noticia/2014/03/briga-entre-haitianos-e-senegaleses-deixa-um-ferido-no-interior-do-ac.html", "URL")</f>
        <v/>
      </c>
      <c r="K3075">
        <f>HYPERLINK("https://raw.githubusercontent.com/marcosmapl/dataset_imigrantes/main/noticias_filtered/g1/haitianos/2014/02_mar/html/g1_cd7103ba-22f1-11ed-b24f-6dbe51e79fca_1766.html", "HTML")</f>
        <v/>
      </c>
      <c r="L3075">
        <f>HYPERLINK("https://raw.githubusercontent.com/marcosmapl/dataset_imigrantes/main/noticias_filtered/g1/haitianos/2014/02_mar/txt/g1_cd7103ba-22f1-11ed-b24f-6dbe51e79fca_1766.txt", "TXT")</f>
        <v/>
      </c>
    </row>
    <row r="3076">
      <c r="A3076" s="1" t="n">
        <v>3074</v>
      </c>
      <c r="B3076" t="n">
        <v>2014</v>
      </c>
      <c r="C3076" s="2" t="n">
        <v>41721.83680555555</v>
      </c>
      <c r="D3076" t="inlineStr">
        <is>
          <t>G1</t>
        </is>
      </c>
      <c r="E3076" t="inlineStr">
        <is>
          <t>VENEZUELANOS</t>
        </is>
      </c>
      <c r="F3076" t="inlineStr"/>
      <c r="G3076" t="inlineStr">
        <is>
          <t>RANCE PRESSE</t>
        </is>
      </c>
      <c r="H3076" t="inlineStr">
        <is>
          <t>JORNALISTAS DENUNCIAM 74 AGRESSÕES DA GUARDA VENEZUELANA EM PROTESTOS</t>
        </is>
      </c>
      <c r="I3076" t="inlineStr"/>
      <c r="J3076">
        <f>HYPERLINK("http://g1.globo.com/mundo/noticia/2014/03/jornalistas-denunciam-74-agressoes-da-guarda-venezuelana-em-protestos.html", "URL")</f>
        <v/>
      </c>
      <c r="K3076">
        <f>HYPERLINK("https://raw.githubusercontent.com/marcosmapl/dataset_imigrantes/main/noticias_filtered/g1/venezuelanos/2014/02_mar/html/g1_c1d50374-2307-11ed-b24f-6dbe51e79fca_2340.html", "HTML")</f>
        <v/>
      </c>
      <c r="L3076">
        <f>HYPERLINK("https://raw.githubusercontent.com/marcosmapl/dataset_imigrantes/main/noticias_filtered/g1/venezuelanos/2014/02_mar/txt/g1_c1d50374-2307-11ed-b24f-6dbe51e79fca_2340.txt", "TXT")</f>
        <v/>
      </c>
    </row>
    <row r="3077">
      <c r="A3077" s="1" t="n">
        <v>3075</v>
      </c>
      <c r="B3077" t="n">
        <v>2014</v>
      </c>
      <c r="C3077" s="2" t="n">
        <v>41719.98347222222</v>
      </c>
      <c r="D3077" t="inlineStr">
        <is>
          <t>A CRITICA</t>
        </is>
      </c>
      <c r="E3077" t="inlineStr">
        <is>
          <t>VENEZUELANOS</t>
        </is>
      </c>
      <c r="F3077" t="inlineStr"/>
      <c r="G3077" t="inlineStr">
        <is>
          <t>LEANDRA FELIPE (CORRESPONDENTE AGÊNCIA BRASIL/EBC)</t>
        </is>
      </c>
      <c r="H3077" t="inlineStr">
        <is>
          <t>VENEZUELA INVESTIGA VIOLAÇÕES DE DIREITOS HUMANOS</t>
        </is>
      </c>
      <c r="I3077" t="inlineStr">
        <is>
          <t>PAÍS FICOU MARCADO POR UMA SÉRIE DE PROTESTOS POPULARES QUE OCORRERAM O MÊS DE FEVEREIRO E QUE FORAM REPRIMIDOS PELO GOVERNO VENEZUELANO</t>
        </is>
      </c>
      <c r="J3077">
        <f>HYPERLINK("https://www.acritica.com/venezuela-investiga-violac-es-de-direitos-humanos-1.153399", "URL")</f>
        <v/>
      </c>
      <c r="K3077">
        <f>HYPERLINK("https://raw.githubusercontent.com/marcosmapl/dataset_imigrantes/main/noticias_filtered/a_critica/venezuelanos/2014/02_mar/html/1.153399_698.html", "HTML")</f>
        <v/>
      </c>
      <c r="L3077">
        <f>HYPERLINK("https://raw.githubusercontent.com/marcosmapl/dataset_imigrantes/main/noticias_filtered/a_critica/venezuelanos/2014/02_mar/txt/1.153399_698.txt", "TXT")</f>
        <v/>
      </c>
    </row>
    <row r="3078">
      <c r="A3078" s="1" t="n">
        <v>3076</v>
      </c>
      <c r="B3078" t="n">
        <v>2014</v>
      </c>
      <c r="C3078" s="2" t="n">
        <v>41718.38958333333</v>
      </c>
      <c r="D3078" t="inlineStr">
        <is>
          <t>G1</t>
        </is>
      </c>
      <c r="E3078" t="inlineStr">
        <is>
          <t>HAITIANOS</t>
        </is>
      </c>
      <c r="F3078" t="inlineStr"/>
      <c r="G3078" t="inlineStr">
        <is>
          <t xml:space="preserve"> FULGÊNCIODO G1 AC</t>
        </is>
      </c>
      <c r="H3078" t="inlineStr">
        <is>
          <t>CARTILHAS PARA ORIENTAÇÃO DE HAITIANOS DEVEM CHEGAR AO AC EM ABRIL</t>
        </is>
      </c>
      <c r="I3078" t="inlineStr"/>
      <c r="J3078">
        <f>HYPERLINK("http://g1.globo.com/ac/acre/noticia/2014/03/cartilhas-para-orientacao-de-haitianos-devem-chegar-ao-ac-em-abril.html", "URL")</f>
        <v/>
      </c>
      <c r="K3078">
        <f>HYPERLINK("https://raw.githubusercontent.com/marcosmapl/dataset_imigrantes/main/noticias_filtered/g1/haitianos/2014/02_mar/html/g1_00e613fc-22f2-11ed-b24f-6dbe51e79fca_1775.html", "HTML")</f>
        <v/>
      </c>
      <c r="L3078">
        <f>HYPERLINK("https://raw.githubusercontent.com/marcosmapl/dataset_imigrantes/main/noticias_filtered/g1/haitianos/2014/02_mar/txt/g1_00e613fc-22f2-11ed-b24f-6dbe51e79fca_1775.txt", "TXT")</f>
        <v/>
      </c>
    </row>
    <row r="3079">
      <c r="A3079" s="1" t="n">
        <v>3077</v>
      </c>
      <c r="B3079" t="n">
        <v>2014</v>
      </c>
      <c r="C3079" s="2" t="n">
        <v>41712.68888888889</v>
      </c>
      <c r="D3079" t="inlineStr">
        <is>
          <t>G1</t>
        </is>
      </c>
      <c r="E3079" t="inlineStr">
        <is>
          <t>HAITIANOS</t>
        </is>
      </c>
      <c r="F3079" t="inlineStr"/>
      <c r="G3079" t="inlineStr">
        <is>
          <t>SA NATANIDO G1 AC</t>
        </is>
      </c>
      <c r="H3079" t="inlineStr">
        <is>
          <t>GOVERNO QUER AJUDA DA FAB PARA BUSCAR HAITIANOS RETIDOS NO AC</t>
        </is>
      </c>
      <c r="I3079" t="inlineStr"/>
      <c r="J3079">
        <f>HYPERLINK("http://g1.globo.com/ac/acre/noticia/2014/03/governo-quer-ajuda-da-fab-para-retirar-haitianos-retidos-no-ac.html", "URL")</f>
        <v/>
      </c>
      <c r="K3079">
        <f>HYPERLINK("https://raw.githubusercontent.com/marcosmapl/dataset_imigrantes/main/noticias_filtered/g1/haitianos/2014/02_mar/html/g1_6a3d823a-22f8-11ed-b24f-6dbe51e79fca_2132.html", "HTML")</f>
        <v/>
      </c>
      <c r="L3079">
        <f>HYPERLINK("https://raw.githubusercontent.com/marcosmapl/dataset_imigrantes/main/noticias_filtered/g1/haitianos/2014/02_mar/txt/g1_6a3d823a-22f8-11ed-b24f-6dbe51e79fca_2132.txt", "TXT")</f>
        <v/>
      </c>
    </row>
    <row r="3080">
      <c r="A3080" s="1" t="n">
        <v>3078</v>
      </c>
      <c r="B3080" t="n">
        <v>2014</v>
      </c>
      <c r="C3080" s="2" t="n">
        <v>41712.66652777778</v>
      </c>
      <c r="D3080" t="inlineStr">
        <is>
          <t>A CRITICA</t>
        </is>
      </c>
      <c r="E3080" t="inlineStr">
        <is>
          <t>HAITIANOS</t>
        </is>
      </c>
      <c r="F3080" t="inlineStr"/>
      <c r="G3080" t="inlineStr">
        <is>
          <t>CAROLINA SARRES (AGÊNCIA BRASIL)</t>
        </is>
      </c>
      <c r="H3080" t="inlineStr">
        <is>
          <t>MAIS UM GENERAL BRASILEIRO COMANDARÁ MISSÃO NO HAITI</t>
        </is>
      </c>
      <c r="I3080" t="inlineStr">
        <is>
          <t>JOSÉ LUIZ JABORANDY JÚNIOR É O DÉCIMO BRASILEIRO A ASSUMIR O CARGO DESDE QUE A MISSÃO DE PAZ FOI CRIADA, EM 2004, PELAS NAÇÕES UNIDAS</t>
        </is>
      </c>
      <c r="J3080">
        <f>HYPERLINK("https://www.acritica.com/mais-um-general-brasileiro-comandara-miss-o-no-haiti-1.151869", "URL")</f>
        <v/>
      </c>
      <c r="K3080">
        <f>HYPERLINK("https://raw.githubusercontent.com/marcosmapl/dataset_imigrantes/main/noticias_filtered/a_critica/haitianos/2014/02_mar/html/1.151869_783.html", "HTML")</f>
        <v/>
      </c>
      <c r="L3080">
        <f>HYPERLINK("https://raw.githubusercontent.com/marcosmapl/dataset_imigrantes/main/noticias_filtered/a_critica/haitianos/2014/02_mar/txt/1.151869_783.txt", "TXT")</f>
        <v/>
      </c>
    </row>
    <row r="3081">
      <c r="A3081" s="1" t="n">
        <v>3079</v>
      </c>
      <c r="B3081" t="n">
        <v>2014</v>
      </c>
      <c r="C3081" s="2" t="n">
        <v>41708.55555555555</v>
      </c>
      <c r="D3081" t="inlineStr">
        <is>
          <t>G1</t>
        </is>
      </c>
      <c r="E3081" t="inlineStr">
        <is>
          <t>VENEZUELANOS</t>
        </is>
      </c>
      <c r="F3081" t="inlineStr"/>
      <c r="G3081" t="inlineStr">
        <is>
          <t>EUTERS</t>
        </is>
      </c>
      <c r="H3081" t="inlineStr">
        <is>
          <t>PROTESTOS E PEDIDOS DE DIÁLOGO DIVIDEM A OPOSIÇÃO VENEZUELANA</t>
        </is>
      </c>
      <c r="I3081" t="inlineStr"/>
      <c r="J3081">
        <f>HYPERLINK("http://g1.globo.com/mundo/noticia/2014/03/protestos-e-pedidos-de-dialogo-dividem-oposicao-venezuelana.html", "URL")</f>
        <v/>
      </c>
      <c r="K3081">
        <f>HYPERLINK("https://raw.githubusercontent.com/marcosmapl/dataset_imigrantes/main/noticias_filtered/g1/venezuelanos/2014/02_mar/html/g1_6d671850-230b-11ed-b24f-6dbe51e79fca_2564.html", "HTML")</f>
        <v/>
      </c>
      <c r="L3081">
        <f>HYPERLINK("https://raw.githubusercontent.com/marcosmapl/dataset_imigrantes/main/noticias_filtered/g1/venezuelanos/2014/02_mar/txt/g1_6d671850-230b-11ed-b24f-6dbe51e79fca_2564.txt", "TXT")</f>
        <v/>
      </c>
    </row>
    <row r="3082">
      <c r="A3082" s="1" t="n">
        <v>3080</v>
      </c>
      <c r="B3082" t="n">
        <v>2014</v>
      </c>
      <c r="C3082" s="2" t="n">
        <v>41703.51041666666</v>
      </c>
      <c r="D3082" t="inlineStr">
        <is>
          <t>G1</t>
        </is>
      </c>
      <c r="E3082" t="inlineStr">
        <is>
          <t>VENEZUELANOS</t>
        </is>
      </c>
      <c r="F3082" t="inlineStr"/>
      <c r="G3082" t="inlineStr">
        <is>
          <t>GÊNCIA EFE</t>
        </is>
      </c>
      <c r="H3082" t="inlineStr">
        <is>
          <t>CAPITAL VENEZUELANA AMANHECE COM BARRICADAS EM VÁRIOS PONTOS</t>
        </is>
      </c>
      <c r="I3082" t="inlineStr"/>
      <c r="J3082">
        <f>HYPERLINK("http://g1.globo.com/mundo/noticia/2014/03/capital-venezuelana-amanhece-com-barricadas-em-varios-pontos.html", "URL")</f>
        <v/>
      </c>
      <c r="K3082">
        <f>HYPERLINK("https://raw.githubusercontent.com/marcosmapl/dataset_imigrantes/main/noticias_filtered/g1/venezuelanos/2014/02_mar/html/g1_3b6fa766-232b-11ed-b24f-6dbe51e79fca_4232.html", "HTML")</f>
        <v/>
      </c>
      <c r="L3082">
        <f>HYPERLINK("https://raw.githubusercontent.com/marcosmapl/dataset_imigrantes/main/noticias_filtered/g1/venezuelanos/2014/02_mar/txt/g1_3b6fa766-232b-11ed-b24f-6dbe51e79fca_4232.txt", "TXT")</f>
        <v/>
      </c>
    </row>
    <row r="3083">
      <c r="A3083" s="1" t="n">
        <v>3081</v>
      </c>
      <c r="B3083" t="n">
        <v>2014</v>
      </c>
      <c r="C3083" s="2" t="n">
        <v>41698.65138888889</v>
      </c>
      <c r="D3083" t="inlineStr">
        <is>
          <t>G1</t>
        </is>
      </c>
      <c r="E3083" t="inlineStr">
        <is>
          <t>HAITIANOS</t>
        </is>
      </c>
      <c r="F3083" t="inlineStr"/>
      <c r="G3083" t="inlineStr">
        <is>
          <t xml:space="preserve"> HAAB
DO G1 PR. EM CASCAVEL</t>
        </is>
      </c>
      <c r="H3083" t="inlineStr">
        <is>
          <t>HAITIANOS DIZEM SER VÍTIMAS DE RACISMO NO OESTE DO PARANÁ</t>
        </is>
      </c>
      <c r="I3083" t="inlineStr"/>
      <c r="J3083">
        <f>HYPERLINK("http://g1.globo.com/pr/oeste-sudoeste/noticia/2014/02/haitianos-dizem-ser-vitimas-de-racismo-no-oeste-do-parana.html", "URL")</f>
        <v/>
      </c>
      <c r="K3083">
        <f>HYPERLINK("https://raw.githubusercontent.com/marcosmapl/dataset_imigrantes/main/noticias_filtered/g1/haitianos/2014/01_fev/html/g1_bae25d84-22f6-11ed-b24f-6dbe51e79fca_2033.html", "HTML")</f>
        <v/>
      </c>
      <c r="L3083">
        <f>HYPERLINK("https://raw.githubusercontent.com/marcosmapl/dataset_imigrantes/main/noticias_filtered/g1/haitianos/2014/01_fev/txt/g1_bae25d84-22f6-11ed-b24f-6dbe51e79fca_2033.txt", "TXT")</f>
        <v/>
      </c>
    </row>
    <row r="3084">
      <c r="A3084" s="1" t="n">
        <v>3082</v>
      </c>
      <c r="B3084" t="n">
        <v>2014</v>
      </c>
      <c r="C3084" s="2" t="n">
        <v>41688.48402777778</v>
      </c>
      <c r="D3084" t="inlineStr">
        <is>
          <t>G1</t>
        </is>
      </c>
      <c r="E3084" t="inlineStr">
        <is>
          <t>HAITIANOS</t>
        </is>
      </c>
      <c r="F3084" t="inlineStr"/>
      <c r="G3084" t="inlineStr">
        <is>
          <t>1 AC</t>
        </is>
      </c>
      <c r="H3084" t="inlineStr">
        <is>
          <t>MPE QUER PEDIR AJUDA DA ONU SOBRE SURTO DE IMIGRAÇÃO HAITIANA NO AC</t>
        </is>
      </c>
      <c r="I3084" t="inlineStr"/>
      <c r="J3084">
        <f>HYPERLINK("http://g1.globo.com/ac/acre/noticia/2014/02/mpe-quer-pedir-ajuda-da-onu-sobre-surto-de-imigracao-haitiana-no-ac.html", "URL")</f>
        <v/>
      </c>
      <c r="K3084">
        <f>HYPERLINK("https://raw.githubusercontent.com/marcosmapl/dataset_imigrantes/main/noticias_filtered/g1/haitianos/2014/01_fev/html/g1_1999119e-230e-11ed-b24f-6dbe51e79fca_2721.html", "HTML")</f>
        <v/>
      </c>
      <c r="L3084">
        <f>HYPERLINK("https://raw.githubusercontent.com/marcosmapl/dataset_imigrantes/main/noticias_filtered/g1/haitianos/2014/01_fev/txt/g1_1999119e-230e-11ed-b24f-6dbe51e79fca_2721.txt", "TXT")</f>
        <v/>
      </c>
    </row>
    <row r="3085">
      <c r="A3085" s="1" t="n">
        <v>3083</v>
      </c>
      <c r="B3085" t="n">
        <v>2014</v>
      </c>
      <c r="C3085" s="2" t="n">
        <v>41686.33680555555</v>
      </c>
      <c r="D3085" t="inlineStr">
        <is>
          <t>G1</t>
        </is>
      </c>
      <c r="E3085" t="inlineStr">
        <is>
          <t>VENEZUELANOS</t>
        </is>
      </c>
      <c r="F3085" t="inlineStr"/>
      <c r="G3085" t="inlineStr">
        <is>
          <t>1 GO, COM INFORMAÇÕES DA TV ANHANGUERA</t>
        </is>
      </c>
      <c r="H3085" t="inlineStr">
        <is>
          <t>APRENDA COMO PREPARAR A 'CACHAPA', CONSIDERADA A PANQUECA VENEZUELANA</t>
        </is>
      </c>
      <c r="I3085" t="inlineStr"/>
      <c r="J3085">
        <f>HYPERLINK("http://g1.globo.com/goias/noticia/2014/02/aprenda-como-preparar-cachapa-considerada-panqueca-venezuelana.html", "URL")</f>
        <v/>
      </c>
      <c r="K3085">
        <f>HYPERLINK("https://raw.githubusercontent.com/marcosmapl/dataset_imigrantes/main/noticias_filtered/g1/venezuelanos/2014/01_fev/html/g1_a485d5f0-2325-11ed-b24f-6dbe51e79fca_3925.html", "HTML")</f>
        <v/>
      </c>
      <c r="L3085">
        <f>HYPERLINK("https://raw.githubusercontent.com/marcosmapl/dataset_imigrantes/main/noticias_filtered/g1/venezuelanos/2014/01_fev/txt/g1_a485d5f0-2325-11ed-b24f-6dbe51e79fca_3925.txt", "TXT")</f>
        <v/>
      </c>
    </row>
    <row r="3086">
      <c r="A3086" s="1" t="n">
        <v>3084</v>
      </c>
      <c r="B3086" t="n">
        <v>2014</v>
      </c>
      <c r="C3086" s="2" t="n">
        <v>41683.74305555555</v>
      </c>
      <c r="D3086" t="inlineStr">
        <is>
          <t>G1</t>
        </is>
      </c>
      <c r="E3086" t="inlineStr">
        <is>
          <t>VENEZUELANOS</t>
        </is>
      </c>
      <c r="F3086" t="inlineStr"/>
      <c r="G3086" t="inlineStr">
        <is>
          <t>EUTERS</t>
        </is>
      </c>
      <c r="H3086" t="inlineStr">
        <is>
          <t>JUSTIÇA VENEZUELANA ORDENA PRISÃO DE OPOSITOR APÓS MORTES EM PROTESTOS</t>
        </is>
      </c>
      <c r="I3086" t="inlineStr"/>
      <c r="J3086">
        <f>HYPERLINK("http://g1.globo.com/mundo/noticia/2014/02/justica-venezuelana-ordena-prisao-de-opositor-apos-mortes-em-protestos.html", "URL")</f>
        <v/>
      </c>
      <c r="K3086">
        <f>HYPERLINK("https://raw.githubusercontent.com/marcosmapl/dataset_imigrantes/main/noticias_filtered/g1/venezuelanos/2014/01_fev/html/g1_64ec5f10-2319-11ed-b24f-6dbe51e79fca_3314.html", "HTML")</f>
        <v/>
      </c>
      <c r="L3086">
        <f>HYPERLINK("https://raw.githubusercontent.com/marcosmapl/dataset_imigrantes/main/noticias_filtered/g1/venezuelanos/2014/01_fev/txt/g1_64ec5f10-2319-11ed-b24f-6dbe51e79fca_3314.txt", "TXT")</f>
        <v/>
      </c>
    </row>
    <row r="3087">
      <c r="A3087" s="1" t="n">
        <v>3085</v>
      </c>
      <c r="B3087" t="n">
        <v>2014</v>
      </c>
      <c r="C3087" s="2" t="n">
        <v>41682.97569444445</v>
      </c>
      <c r="D3087" t="inlineStr">
        <is>
          <t>G1</t>
        </is>
      </c>
      <c r="E3087" t="inlineStr">
        <is>
          <t>VENEZUELANOS</t>
        </is>
      </c>
      <c r="F3087" t="inlineStr"/>
      <c r="G3087" t="inlineStr">
        <is>
          <t>BC</t>
        </is>
      </c>
      <c r="H3087" t="inlineStr">
        <is>
          <t>OPOSIÇÃO VENEZUELANA APROFUNDA DIVISÕES MESMO COM CONJUNTURA 'FAVORÁVEL'</t>
        </is>
      </c>
      <c r="I3087" t="inlineStr"/>
      <c r="J3087">
        <f>HYPERLINK("http://g1.globo.com/mundo/noticia/2014/02/oposicao-venezuelana-aprofunda-divisoes-mesmo-com-conjuntura-favoravel.html", "URL")</f>
        <v/>
      </c>
      <c r="K3087">
        <f>HYPERLINK("https://raw.githubusercontent.com/marcosmapl/dataset_imigrantes/main/noticias_filtered/g1/venezuelanos/2014/01_fev/html/g1_1b736456-2327-11ed-b24f-6dbe51e79fca_4018.html", "HTML")</f>
        <v/>
      </c>
      <c r="L3087">
        <f>HYPERLINK("https://raw.githubusercontent.com/marcosmapl/dataset_imigrantes/main/noticias_filtered/g1/venezuelanos/2014/01_fev/txt/g1_1b736456-2327-11ed-b24f-6dbe51e79fca_4018.txt", "TXT")</f>
        <v/>
      </c>
    </row>
    <row r="3088">
      <c r="A3088" s="1" t="n">
        <v>3086</v>
      </c>
      <c r="B3088" t="n">
        <v>2014</v>
      </c>
      <c r="C3088" s="2" t="n">
        <v>41681.52291666667</v>
      </c>
      <c r="D3088" t="inlineStr">
        <is>
          <t>G1</t>
        </is>
      </c>
      <c r="E3088" t="inlineStr">
        <is>
          <t>HAITIANOS</t>
        </is>
      </c>
      <c r="F3088" t="inlineStr"/>
      <c r="G3088" t="inlineStr">
        <is>
          <t>1 RS</t>
        </is>
      </c>
      <c r="H3088" t="inlineStr">
        <is>
          <t>UNIVERSIDADE DE CERRO LARGO OFERECE CURSOS PARA ESTUDANTES HAITIANOS</t>
        </is>
      </c>
      <c r="I3088" t="inlineStr"/>
      <c r="J3088">
        <f>HYPERLINK("http://g1.globo.com/rs/rio-grande-do-sul/noticia/2014/02/universidade-de-santa-rosa-oferece-cursos-para-estudantes-haitianos.html", "URL")</f>
        <v/>
      </c>
      <c r="K3088">
        <f>HYPERLINK("https://raw.githubusercontent.com/marcosmapl/dataset_imigrantes/main/noticias_filtered/g1/haitianos/2014/01_fev/html/g1_e778eab8-22f9-11ed-b24f-6dbe51e79fca_2190.html", "HTML")</f>
        <v/>
      </c>
      <c r="L3088">
        <f>HYPERLINK("https://raw.githubusercontent.com/marcosmapl/dataset_imigrantes/main/noticias_filtered/g1/haitianos/2014/01_fev/txt/g1_e778eab8-22f9-11ed-b24f-6dbe51e79fca_2190.txt", "TXT")</f>
        <v/>
      </c>
    </row>
    <row r="3089">
      <c r="A3089" s="1" t="n">
        <v>3087</v>
      </c>
      <c r="B3089" t="n">
        <v>2014</v>
      </c>
      <c r="C3089" s="2" t="n">
        <v>41680.35416666666</v>
      </c>
      <c r="D3089" t="inlineStr">
        <is>
          <t>G1</t>
        </is>
      </c>
      <c r="E3089" t="inlineStr">
        <is>
          <t>HAITIANOS</t>
        </is>
      </c>
      <c r="F3089" t="inlineStr"/>
      <c r="G3089" t="inlineStr">
        <is>
          <t>M NETODO G1 RO</t>
        </is>
      </c>
      <c r="H3089" t="inlineStr">
        <is>
          <t>HAITIANO PASSA A GERENCIAR TRABALHO DE COLEGAS NA EMPRESA ONDE FOI GARI</t>
        </is>
      </c>
      <c r="I3089" t="inlineStr"/>
      <c r="J3089">
        <f>HYPERLINK("http://g1.globo.com/ro/rondonia/noticia/2014/02/haitiano-passa-gerenciar-trabalho-de-colegas-na-empresa-onde-foi-gari.html", "URL")</f>
        <v/>
      </c>
      <c r="K3089">
        <f>HYPERLINK("https://raw.githubusercontent.com/marcosmapl/dataset_imigrantes/main/noticias_filtered/g1/haitianos/2014/01_fev/html/g1_8348f89c-230f-11ed-b24f-6dbe51e79fca_2800.html", "HTML")</f>
        <v/>
      </c>
      <c r="L3089">
        <f>HYPERLINK("https://raw.githubusercontent.com/marcosmapl/dataset_imigrantes/main/noticias_filtered/g1/haitianos/2014/01_fev/txt/g1_8348f89c-230f-11ed-b24f-6dbe51e79fca_2800.txt", "TXT")</f>
        <v/>
      </c>
    </row>
    <row r="3090">
      <c r="A3090" s="1" t="n">
        <v>3088</v>
      </c>
      <c r="B3090" t="n">
        <v>2014</v>
      </c>
      <c r="C3090" s="2" t="n">
        <v>41678.51736111111</v>
      </c>
      <c r="D3090" t="inlineStr">
        <is>
          <t>G1</t>
        </is>
      </c>
      <c r="E3090" t="inlineStr">
        <is>
          <t>VENEZUELANOS</t>
        </is>
      </c>
      <c r="F3090" t="inlineStr"/>
      <c r="G3090" t="inlineStr">
        <is>
          <t>IANA OLIVEIRADO G1 RR</t>
        </is>
      </c>
      <c r="H3090" t="inlineStr">
        <is>
          <t>PRF EM RR DESARTICULA QUADRILHA DE CONTRABANDO DE GASOLINA VENEZUELANA</t>
        </is>
      </c>
      <c r="I3090" t="inlineStr"/>
      <c r="J3090">
        <f>HYPERLINK("http://g1.globo.com/rr/roraima/noticia/2014/02/prf-em-rr-desarticula-quadrilha-de-contrabando-de-gasolina-venezuelana.html", "URL")</f>
        <v/>
      </c>
      <c r="K3090">
        <f>HYPERLINK("https://raw.githubusercontent.com/marcosmapl/dataset_imigrantes/main/noticias_filtered/g1/venezuelanos/2014/01_fev/html/g1_6919a52c-230d-11ed-b24f-6dbe51e79fca_2685.html", "HTML")</f>
        <v/>
      </c>
      <c r="L3090">
        <f>HYPERLINK("https://raw.githubusercontent.com/marcosmapl/dataset_imigrantes/main/noticias_filtered/g1/venezuelanos/2014/01_fev/txt/g1_6919a52c-230d-11ed-b24f-6dbe51e79fca_2685.txt", "TXT")</f>
        <v/>
      </c>
    </row>
    <row r="3091">
      <c r="A3091" s="1" t="n">
        <v>3089</v>
      </c>
      <c r="B3091" t="n">
        <v>2014</v>
      </c>
      <c r="C3091" s="2" t="n">
        <v>41677.39722222222</v>
      </c>
      <c r="D3091" t="inlineStr">
        <is>
          <t>G1</t>
        </is>
      </c>
      <c r="E3091" t="inlineStr">
        <is>
          <t>HAITIANOS</t>
        </is>
      </c>
      <c r="F3091" t="inlineStr"/>
      <c r="G3091" t="inlineStr">
        <is>
          <t>ANA RIBEIRODO G1 AC</t>
        </is>
      </c>
      <c r="H3091" t="inlineStr">
        <is>
          <t>OPERAÇÃO EMITE 900 CPFS  PARA HAITIANOS EM BRASILÉIA</t>
        </is>
      </c>
      <c r="I3091" t="inlineStr"/>
      <c r="J3091">
        <f>HYPERLINK("http://g1.globo.com/ac/acre/noticia/2014/02/operacao-emite-900-cpfs-para-haitianos-em-brasileia.html", "URL")</f>
        <v/>
      </c>
      <c r="K3091">
        <f>HYPERLINK("https://raw.githubusercontent.com/marcosmapl/dataset_imigrantes/main/noticias_filtered/g1/haitianos/2014/01_fev/html/g1_ea3ae102-22f9-11ed-b24f-6dbe51e79fca_2191.html", "HTML")</f>
        <v/>
      </c>
      <c r="L3091">
        <f>HYPERLINK("https://raw.githubusercontent.com/marcosmapl/dataset_imigrantes/main/noticias_filtered/g1/haitianos/2014/01_fev/txt/g1_ea3ae102-22f9-11ed-b24f-6dbe51e79fca_2191.txt", "TXT")</f>
        <v/>
      </c>
    </row>
    <row r="3092">
      <c r="A3092" s="1" t="n">
        <v>3090</v>
      </c>
      <c r="B3092" t="n">
        <v>2014</v>
      </c>
      <c r="C3092" s="2" t="n">
        <v>41676.59027777778</v>
      </c>
      <c r="D3092" t="inlineStr">
        <is>
          <t>G1</t>
        </is>
      </c>
      <c r="E3092" t="inlineStr">
        <is>
          <t>HAITIANOS</t>
        </is>
      </c>
      <c r="F3092" t="inlineStr"/>
      <c r="G3092" t="inlineStr">
        <is>
          <t>PE NÉRIDO G1, EM BRASÍLIA</t>
        </is>
      </c>
      <c r="H3092" t="inlineStr">
        <is>
          <t>BRASIL QUER REDUZIR PRAZO DE EMISSÃO DE VISTO PARA HAITIANO, DIZ FIGUEIREDO</t>
        </is>
      </c>
      <c r="I3092" t="inlineStr"/>
      <c r="J3092">
        <f>HYPERLINK("http://g1.globo.com/politica/noticia/2014/02/brasil-quer-reduzir-prazo-de-emissao-de-visto-para-haitiano-diz-figueiredo.html", "URL")</f>
        <v/>
      </c>
      <c r="K3092">
        <f>HYPERLINK("https://raw.githubusercontent.com/marcosmapl/dataset_imigrantes/main/noticias_filtered/g1/haitianos/2014/01_fev/html/g1_1bed473e-2314-11ed-b24f-6dbe51e79fca_3046.html", "HTML")</f>
        <v/>
      </c>
      <c r="L3092">
        <f>HYPERLINK("https://raw.githubusercontent.com/marcosmapl/dataset_imigrantes/main/noticias_filtered/g1/haitianos/2014/01_fev/txt/g1_1bed473e-2314-11ed-b24f-6dbe51e79fca_3046.txt", "TXT")</f>
        <v/>
      </c>
    </row>
    <row r="3093">
      <c r="A3093" s="1" t="n">
        <v>3091</v>
      </c>
      <c r="B3093" t="n">
        <v>2014</v>
      </c>
      <c r="C3093" s="2" t="n">
        <v>41674.85902777778</v>
      </c>
      <c r="D3093" t="inlineStr">
        <is>
          <t>G1</t>
        </is>
      </c>
      <c r="E3093" t="inlineStr">
        <is>
          <t>HAITIANOS</t>
        </is>
      </c>
      <c r="F3093" t="inlineStr"/>
      <c r="G3093" t="inlineStr"/>
      <c r="H3093" t="inlineStr">
        <is>
          <t>DOCUMENTÁRIO MOSTRA AS MOTIVAÇÕES DA MIGRAÇÃO DE HAITIANOS</t>
        </is>
      </c>
      <c r="I3093" t="inlineStr"/>
      <c r="J3093">
        <f>HYPERLINK("http://g1.globo.com/globo-news/noticia/2014/02/documentario-mostra-motivacoes-e-consequencias-da-migracao-dos-haitianos.html", "URL")</f>
        <v/>
      </c>
      <c r="K3093">
        <f>HYPERLINK("https://raw.githubusercontent.com/marcosmapl/dataset_imigrantes/main/noticias_filtered/g1/haitianos/2014/01_fev/html/g1_c61162de-22f8-11ed-b24f-6dbe51e79fca_2156.html", "HTML")</f>
        <v/>
      </c>
      <c r="L3093">
        <f>HYPERLINK("https://raw.githubusercontent.com/marcosmapl/dataset_imigrantes/main/noticias_filtered/g1/haitianos/2014/01_fev/txt/g1_c61162de-22f8-11ed-b24f-6dbe51e79fca_2156.txt", "TXT")</f>
        <v/>
      </c>
    </row>
    <row r="3094">
      <c r="A3094" s="1" t="n">
        <v>3092</v>
      </c>
      <c r="B3094" t="n">
        <v>2014</v>
      </c>
      <c r="C3094" s="2" t="n">
        <v>41674.71111111111</v>
      </c>
      <c r="D3094" t="inlineStr">
        <is>
          <t>G1</t>
        </is>
      </c>
      <c r="E3094" t="inlineStr">
        <is>
          <t>HAITIANOS</t>
        </is>
      </c>
      <c r="F3094" t="inlineStr"/>
      <c r="G3094" t="inlineStr">
        <is>
          <t xml:space="preserve"> FULGÊNCIODO G1 AC</t>
        </is>
      </c>
      <c r="H3094" t="inlineStr">
        <is>
          <t>Nº DE HAITIANOS QUE SOLICITOU REFÚGIO NO AC CRESCE 123% EM DOIS ANOS</t>
        </is>
      </c>
      <c r="I3094" t="inlineStr"/>
      <c r="J3094">
        <f>HYPERLINK("http://g1.globo.com/ac/acre/noticia/2014/02/em-2-anos-mais-de-14-mil-haitianos-solicitaram-refugio-no-ac-diz-pf.html", "URL")</f>
        <v/>
      </c>
      <c r="K3094">
        <f>HYPERLINK("https://raw.githubusercontent.com/marcosmapl/dataset_imigrantes/main/noticias_filtered/g1/haitianos/2014/01_fev/html/g1_b19d7f40-22f8-11ed-b24f-6dbe51e79fca_2151.html", "HTML")</f>
        <v/>
      </c>
      <c r="L3094">
        <f>HYPERLINK("https://raw.githubusercontent.com/marcosmapl/dataset_imigrantes/main/noticias_filtered/g1/haitianos/2014/01_fev/txt/g1_b19d7f40-22f8-11ed-b24f-6dbe51e79fca_2151.txt", "TXT")</f>
        <v/>
      </c>
    </row>
    <row r="3095">
      <c r="A3095" s="1" t="n">
        <v>3093</v>
      </c>
      <c r="B3095" t="n">
        <v>2014</v>
      </c>
      <c r="C3095" s="2" t="n">
        <v>41674.64027777778</v>
      </c>
      <c r="D3095" t="inlineStr">
        <is>
          <t>G1</t>
        </is>
      </c>
      <c r="E3095" t="inlineStr">
        <is>
          <t>HAITIANOS</t>
        </is>
      </c>
      <c r="F3095" t="inlineStr"/>
      <c r="G3095" t="inlineStr">
        <is>
          <t>1 SC</t>
        </is>
      </c>
      <c r="H3095" t="inlineStr">
        <is>
          <t>DEZESSEIS POLICIAIS HAITIANOS PARTICIPAM DE OPERAÇÃO DA PRF SC</t>
        </is>
      </c>
      <c r="I3095" t="inlineStr"/>
      <c r="J3095">
        <f>HYPERLINK("http://g1.globo.com/sc/santa-catarina/noticia/2014/02/dezesseis-policiais-haitianos-participam-de-operacao-da-prf-sc.html", "URL")</f>
        <v/>
      </c>
      <c r="K3095">
        <f>HYPERLINK("https://raw.githubusercontent.com/marcosmapl/dataset_imigrantes/main/noticias_filtered/g1/haitianos/2014/01_fev/html/g1_85dc92a0-22f9-11ed-b24f-6dbe51e79fca_2167.html", "HTML")</f>
        <v/>
      </c>
      <c r="L3095">
        <f>HYPERLINK("https://raw.githubusercontent.com/marcosmapl/dataset_imigrantes/main/noticias_filtered/g1/haitianos/2014/01_fev/txt/g1_85dc92a0-22f9-11ed-b24f-6dbe51e79fca_2167.txt", "TXT")</f>
        <v/>
      </c>
    </row>
    <row r="3096">
      <c r="A3096" s="1" t="n">
        <v>3094</v>
      </c>
      <c r="B3096" t="n">
        <v>2014</v>
      </c>
      <c r="C3096" s="2" t="n">
        <v>41674.29166666666</v>
      </c>
      <c r="D3096" t="inlineStr">
        <is>
          <t>G1</t>
        </is>
      </c>
      <c r="E3096" t="inlineStr">
        <is>
          <t>HAITIANOS</t>
        </is>
      </c>
      <c r="F3096" t="inlineStr"/>
      <c r="G3096" t="inlineStr">
        <is>
          <t>M NETODO G1 RO</t>
        </is>
      </c>
      <c r="H3096" t="inlineStr">
        <is>
          <t>RONDÔNIA EMITIRÁ 10 MIL CARTEIRAS DE TRABALHO A HAITIANOS ALOJADOS NO ACRE</t>
        </is>
      </c>
      <c r="I3096" t="inlineStr"/>
      <c r="J3096">
        <f>HYPERLINK("http://g1.globo.com/ro/rondonia/noticia/2014/02/rondonia-emitira-10-mil-carteiras-de-trabalho-haitianos-alojados-no-acre.html", "URL")</f>
        <v/>
      </c>
      <c r="K3096">
        <f>HYPERLINK("https://raw.githubusercontent.com/marcosmapl/dataset_imigrantes/main/noticias_filtered/g1/haitianos/2014/01_fev/html/g1_ac7433d2-22f4-11ed-b24f-6dbe51e79fca_1904.html", "HTML")</f>
        <v/>
      </c>
      <c r="L3096">
        <f>HYPERLINK("https://raw.githubusercontent.com/marcosmapl/dataset_imigrantes/main/noticias_filtered/g1/haitianos/2014/01_fev/txt/g1_ac7433d2-22f4-11ed-b24f-6dbe51e79fca_1904.txt", "TXT")</f>
        <v/>
      </c>
    </row>
    <row r="3097">
      <c r="A3097" s="1" t="n">
        <v>3095</v>
      </c>
      <c r="B3097" t="n">
        <v>2014</v>
      </c>
      <c r="C3097" s="2" t="n">
        <v>41670.80138888889</v>
      </c>
      <c r="D3097" t="inlineStr">
        <is>
          <t>G1</t>
        </is>
      </c>
      <c r="E3097" t="inlineStr">
        <is>
          <t>HAITIANOS</t>
        </is>
      </c>
      <c r="F3097" t="inlineStr"/>
      <c r="G3097" t="inlineStr">
        <is>
          <t xml:space="preserve"> MARCELDO G1 AC</t>
        </is>
      </c>
      <c r="H3097" t="inlineStr">
        <is>
          <t>MPF PEDE INFORMAÇÕES SOBRE SITUAÇÃO DE HAITIANOS</t>
        </is>
      </c>
      <c r="I3097" t="inlineStr"/>
      <c r="J3097">
        <f>HYPERLINK("http://g1.globo.com/ac/acre/noticia/2014/01/mpf-pede-informacoes-sobre-situacao-de-haitianos.html", "URL")</f>
        <v/>
      </c>
      <c r="K3097">
        <f>HYPERLINK("https://raw.githubusercontent.com/marcosmapl/dataset_imigrantes/main/noticias_filtered/g1/haitianos/2014/00_jan/html/g1_6458400e-22f2-11ed-b24f-6dbe51e79fca_1794.html", "HTML")</f>
        <v/>
      </c>
      <c r="L3097">
        <f>HYPERLINK("https://raw.githubusercontent.com/marcosmapl/dataset_imigrantes/main/noticias_filtered/g1/haitianos/2014/00_jan/txt/g1_6458400e-22f2-11ed-b24f-6dbe51e79fca_1794.txt", "TXT")</f>
        <v/>
      </c>
    </row>
    <row r="3098">
      <c r="A3098" s="1" t="n">
        <v>3096</v>
      </c>
      <c r="B3098" t="n">
        <v>2014</v>
      </c>
      <c r="C3098" s="2" t="n">
        <v>41670.76041666666</v>
      </c>
      <c r="D3098" t="inlineStr">
        <is>
          <t>G1</t>
        </is>
      </c>
      <c r="E3098" t="inlineStr">
        <is>
          <t>HAITIANOS</t>
        </is>
      </c>
      <c r="F3098" t="inlineStr"/>
      <c r="G3098" t="inlineStr">
        <is>
          <t>DA BORGESDO G1 AC</t>
        </is>
      </c>
      <c r="H3098" t="inlineStr">
        <is>
          <t>HAITIANOS CAUSAM TUMULTO EM FRENTE A PRÉDIO DA RECEITA FEDERAL EM BRASILÉIA</t>
        </is>
      </c>
      <c r="I3098" t="inlineStr"/>
      <c r="J3098">
        <f>HYPERLINK("http://g1.globo.com/ac/acre/noticia/2014/01/haitianos-causam-tumulto-em-frente-predio-da-receita-federal-em-brasileia.html", "URL")</f>
        <v/>
      </c>
      <c r="K3098">
        <f>HYPERLINK("https://raw.githubusercontent.com/marcosmapl/dataset_imigrantes/main/noticias_filtered/g1/haitianos/2014/00_jan/html/g1_e1e33dc8-22f5-11ed-b24f-6dbe51e79fca_1978.html", "HTML")</f>
        <v/>
      </c>
      <c r="L3098">
        <f>HYPERLINK("https://raw.githubusercontent.com/marcosmapl/dataset_imigrantes/main/noticias_filtered/g1/haitianos/2014/00_jan/txt/g1_e1e33dc8-22f5-11ed-b24f-6dbe51e79fca_1978.txt", "TXT")</f>
        <v/>
      </c>
    </row>
    <row r="3099">
      <c r="A3099" s="1" t="n">
        <v>3097</v>
      </c>
      <c r="B3099" t="n">
        <v>2014</v>
      </c>
      <c r="C3099" s="2" t="n">
        <v>41665.57986111111</v>
      </c>
      <c r="D3099" t="inlineStr">
        <is>
          <t>G1</t>
        </is>
      </c>
      <c r="E3099" t="inlineStr">
        <is>
          <t>HAITIANOS</t>
        </is>
      </c>
      <c r="F3099" t="inlineStr"/>
      <c r="G3099" t="inlineStr">
        <is>
          <t>1 AC</t>
        </is>
      </c>
      <c r="H3099" t="inlineStr">
        <is>
          <t>VOCÊ VIU? IRMÃS HAITIANAS ESPERAM POR MÃE EM ACAMPAMENTO E MAIS</t>
        </is>
      </c>
      <c r="I3099" t="inlineStr"/>
      <c r="J3099">
        <f>HYPERLINK("http://g1.globo.com/ac/acre/noticia/2014/01/voce-viu-irmas-haitianas-esperam-por-mae-em-acampamento-e-mais.html", "URL")</f>
        <v/>
      </c>
      <c r="K3099">
        <f>HYPERLINK("https://raw.githubusercontent.com/marcosmapl/dataset_imigrantes/main/noticias_filtered/g1/haitianos/2014/00_jan/html/g1_4c665f26-230b-11ed-b24f-6dbe51e79fca_2557.html", "HTML")</f>
        <v/>
      </c>
      <c r="L3099">
        <f>HYPERLINK("https://raw.githubusercontent.com/marcosmapl/dataset_imigrantes/main/noticias_filtered/g1/haitianos/2014/00_jan/txt/g1_4c665f26-230b-11ed-b24f-6dbe51e79fca_2557.txt", "TXT")</f>
        <v/>
      </c>
    </row>
    <row r="3100">
      <c r="A3100" s="1" t="n">
        <v>3098</v>
      </c>
      <c r="B3100" t="n">
        <v>2014</v>
      </c>
      <c r="C3100" s="2" t="n">
        <v>41662.68888888889</v>
      </c>
      <c r="D3100" t="inlineStr">
        <is>
          <t>G1</t>
        </is>
      </c>
      <c r="E3100" t="inlineStr">
        <is>
          <t>HAITIANOS</t>
        </is>
      </c>
      <c r="F3100" t="inlineStr"/>
      <c r="G3100" t="inlineStr">
        <is>
          <t xml:space="preserve"> FULGÊNCIODO G1 AC</t>
        </is>
      </c>
      <c r="H3100" t="inlineStr">
        <is>
          <t>CAMPANHA VAI VACINAR IMIGRANTES QUE ESTÃO EM ABRIGO NO INTERIOR DO ACRE</t>
        </is>
      </c>
      <c r="I3100" t="inlineStr"/>
      <c r="J3100">
        <f>HYPERLINK("http://g1.globo.com/ac/acre/noticia/2014/01/campanha-vai-vacinar-imigrantes-que-estao-em-abrigo-no-interior-do-acre.html", "URL")</f>
        <v/>
      </c>
      <c r="K3100">
        <f>HYPERLINK("https://raw.githubusercontent.com/marcosmapl/dataset_imigrantes/main/noticias_filtered/g1/haitianos/2014/00_jan/html/g1_16d68b88-2324-11ed-b24f-6dbe51e79fca_3848.html", "HTML")</f>
        <v/>
      </c>
      <c r="L3100">
        <f>HYPERLINK("https://raw.githubusercontent.com/marcosmapl/dataset_imigrantes/main/noticias_filtered/g1/haitianos/2014/00_jan/txt/g1_16d68b88-2324-11ed-b24f-6dbe51e79fca_3848.txt", "TXT")</f>
        <v/>
      </c>
    </row>
    <row r="3101">
      <c r="A3101" s="1" t="n">
        <v>3099</v>
      </c>
      <c r="B3101" t="n">
        <v>2014</v>
      </c>
      <c r="C3101" s="2" t="n">
        <v>41660.98680555556</v>
      </c>
      <c r="D3101" t="inlineStr">
        <is>
          <t>G1</t>
        </is>
      </c>
      <c r="E3101" t="inlineStr">
        <is>
          <t>HAITIANOS</t>
        </is>
      </c>
      <c r="F3101" t="inlineStr"/>
      <c r="G3101" t="inlineStr">
        <is>
          <t>CILLA MENDES E VERIANA RIBEIRODO G1, EM BRASÍLIA E DO G1 AC</t>
        </is>
      </c>
      <c r="H3101" t="inlineStr">
        <is>
          <t>COMITIVA ACREANA DEBATE SITUAÇÃO DE HAITIANOS EM BRASÍLIA</t>
        </is>
      </c>
      <c r="I3101" t="inlineStr"/>
      <c r="J3101">
        <f>HYPERLINK("http://g1.globo.com/ac/acre/noticia/2014/01/comitiva-acreana-debate-situacao-de-haitianos-em-brasilia.html", "URL")</f>
        <v/>
      </c>
      <c r="K3101">
        <f>HYPERLINK("https://raw.githubusercontent.com/marcosmapl/dataset_imigrantes/main/noticias_filtered/g1/haitianos/2014/00_jan/html/g1_e6c54d32-22f4-11ed-b24f-6dbe51e79fca_1918.html", "HTML")</f>
        <v/>
      </c>
      <c r="L3101">
        <f>HYPERLINK("https://raw.githubusercontent.com/marcosmapl/dataset_imigrantes/main/noticias_filtered/g1/haitianos/2014/00_jan/txt/g1_e6c54d32-22f4-11ed-b24f-6dbe51e79fca_1918.txt", "TXT")</f>
        <v/>
      </c>
    </row>
    <row r="3102">
      <c r="A3102" s="1" t="n">
        <v>3100</v>
      </c>
      <c r="B3102" t="n">
        <v>2014</v>
      </c>
      <c r="C3102" s="2" t="n">
        <v>41659.40347222222</v>
      </c>
      <c r="D3102" t="inlineStr">
        <is>
          <t>G1</t>
        </is>
      </c>
      <c r="E3102" t="inlineStr">
        <is>
          <t>HAITIANOS</t>
        </is>
      </c>
      <c r="F3102" t="inlineStr"/>
      <c r="G3102" t="inlineStr"/>
      <c r="H3102" t="inlineStr">
        <is>
          <t>ABRIGO PARA RECEBER IMIGRANTES HAITIANOS NO ACRE ESTÁ SUPERLOTADO</t>
        </is>
      </c>
      <c r="I3102" t="inlineStr"/>
      <c r="J3102">
        <f>HYPERLINK("http://g1.globo.com/bom-dia-brasil/noticia/2014/01/abrigo-para-receber-imigrantes-haitianos-no-acre-esta-superlotado.html", "URL")</f>
        <v/>
      </c>
      <c r="K3102">
        <f>HYPERLINK("https://raw.githubusercontent.com/marcosmapl/dataset_imigrantes/main/noticias_filtered/g1/haitianos/2014/00_jan/html/g1_fcff38c6-22f7-11ed-b24f-6dbe51e79fca_2110.html", "HTML")</f>
        <v/>
      </c>
      <c r="L3102">
        <f>HYPERLINK("https://raw.githubusercontent.com/marcosmapl/dataset_imigrantes/main/noticias_filtered/g1/haitianos/2014/00_jan/txt/g1_fcff38c6-22f7-11ed-b24f-6dbe51e79fca_2110.txt", "TXT")</f>
        <v/>
      </c>
    </row>
    <row r="3103">
      <c r="A3103" s="1" t="n">
        <v>3101</v>
      </c>
      <c r="B3103" t="n">
        <v>2014</v>
      </c>
      <c r="C3103" s="2" t="n">
        <v>41658.56180555555</v>
      </c>
      <c r="D3103" t="inlineStr">
        <is>
          <t>G1</t>
        </is>
      </c>
      <c r="E3103" t="inlineStr">
        <is>
          <t>HAITIANOS</t>
        </is>
      </c>
      <c r="F3103" t="inlineStr"/>
      <c r="G3103" t="inlineStr">
        <is>
          <t>ANA RIBEIRODO G1 AC</t>
        </is>
      </c>
      <c r="H3103" t="inlineStr">
        <is>
          <t>IRMÃS HAITIANAS ESPERAM POR MÃE EM ACAMPAMENTO DE IMIGRANTES, NO AC</t>
        </is>
      </c>
      <c r="I3103" t="inlineStr"/>
      <c r="J3103">
        <f>HYPERLINK("http://g1.globo.com/ac/acre/noticia/2014/01/irmas-haitianas-esperam-por-mae-em-acampamento-de-imigrantes-no-ac.html", "URL")</f>
        <v/>
      </c>
      <c r="K3103">
        <f>HYPERLINK("https://raw.githubusercontent.com/marcosmapl/dataset_imigrantes/main/noticias_filtered/g1/haitianos/2014/00_jan/html/g1_2d1150e4-2316-11ed-b24f-6dbe51e79fca_3130.html", "HTML")</f>
        <v/>
      </c>
      <c r="L3103">
        <f>HYPERLINK("https://raw.githubusercontent.com/marcosmapl/dataset_imigrantes/main/noticias_filtered/g1/haitianos/2014/00_jan/txt/g1_2d1150e4-2316-11ed-b24f-6dbe51e79fca_3130.txt", "TXT")</f>
        <v/>
      </c>
    </row>
    <row r="3104">
      <c r="A3104" s="1" t="n">
        <v>3102</v>
      </c>
      <c r="B3104" t="n">
        <v>2014</v>
      </c>
      <c r="C3104" s="2" t="n">
        <v>41658.53819444445</v>
      </c>
      <c r="D3104" t="inlineStr">
        <is>
          <t>G1</t>
        </is>
      </c>
      <c r="E3104" t="inlineStr">
        <is>
          <t>HAITIANOS</t>
        </is>
      </c>
      <c r="F3104" t="inlineStr"/>
      <c r="G3104" t="inlineStr">
        <is>
          <t>1 AC</t>
        </is>
      </c>
      <c r="H3104" t="inlineStr">
        <is>
          <t>VOCÊ VIU? DIVULGADOR DA TELEXFREE ACORRENTADO, HAITIANOS E MAIS NOTÍCIAS</t>
        </is>
      </c>
      <c r="I3104" t="inlineStr"/>
      <c r="J3104">
        <f>HYPERLINK("http://g1.globo.com/ac/acre/noticia/2014/01/voce-viu-divulgador-da-telexfree-acorrentado-haitianos-e-mais-noticias.html", "URL")</f>
        <v/>
      </c>
      <c r="K3104">
        <f>HYPERLINK("https://raw.githubusercontent.com/marcosmapl/dataset_imigrantes/main/noticias_filtered/g1/haitianos/2014/00_jan/html/g1_fff07716-22f2-11ed-b24f-6dbe51e79fca_1820.html", "HTML")</f>
        <v/>
      </c>
      <c r="L3104">
        <f>HYPERLINK("https://raw.githubusercontent.com/marcosmapl/dataset_imigrantes/main/noticias_filtered/g1/haitianos/2014/00_jan/txt/g1_fff07716-22f2-11ed-b24f-6dbe51e79fca_1820.txt", "TXT")</f>
        <v/>
      </c>
    </row>
    <row r="3105">
      <c r="A3105" s="1" t="n">
        <v>3103</v>
      </c>
      <c r="B3105" t="n">
        <v>2014</v>
      </c>
      <c r="C3105" s="2" t="n">
        <v>41655.77916666667</v>
      </c>
      <c r="D3105" t="inlineStr">
        <is>
          <t>G1</t>
        </is>
      </c>
      <c r="E3105" t="inlineStr">
        <is>
          <t>HAITIANOS</t>
        </is>
      </c>
      <c r="F3105" t="inlineStr"/>
      <c r="G3105" t="inlineStr">
        <is>
          <t>PE MATOSODO G1, EM BRASÍLIA</t>
        </is>
      </c>
      <c r="H3105" t="inlineStr">
        <is>
          <t>REUNIÃO INTERMINISTERIAL DISCUTIRÁ SITUAÇÃO DE HAITIANOS NO ACRE</t>
        </is>
      </c>
      <c r="I3105" t="inlineStr"/>
      <c r="J3105">
        <f>HYPERLINK("http://g1.globo.com/ac/acre/noticia/2014/01/reuniao-interministerial-discutira-situacao-de-haitianos-no-acre.html", "URL")</f>
        <v/>
      </c>
      <c r="K3105">
        <f>HYPERLINK("https://raw.githubusercontent.com/marcosmapl/dataset_imigrantes/main/noticias_filtered/g1/haitianos/2014/00_jan/html/g1_4b333f40-22fa-11ed-b24f-6dbe51e79fca_2210.html", "HTML")</f>
        <v/>
      </c>
      <c r="L3105">
        <f>HYPERLINK("https://raw.githubusercontent.com/marcosmapl/dataset_imigrantes/main/noticias_filtered/g1/haitianos/2014/00_jan/txt/g1_4b333f40-22fa-11ed-b24f-6dbe51e79fca_2210.txt", "TXT")</f>
        <v/>
      </c>
    </row>
    <row r="3106">
      <c r="A3106" s="1" t="n">
        <v>3104</v>
      </c>
      <c r="B3106" t="n">
        <v>2014</v>
      </c>
      <c r="C3106" s="2" t="n">
        <v>41654.62986111111</v>
      </c>
      <c r="D3106" t="inlineStr">
        <is>
          <t>G1</t>
        </is>
      </c>
      <c r="E3106" t="inlineStr">
        <is>
          <t>HAITIANOS</t>
        </is>
      </c>
      <c r="F3106" t="inlineStr"/>
      <c r="G3106" t="inlineStr">
        <is>
          <t>ANE STOCHERO DO G1, EM SÃO PAULO</t>
        </is>
      </c>
      <c r="H3106" t="inlineStr">
        <is>
          <t>ENTRADA DIÁRIA DE HAITIANOS TRIPLICA E QUADRO PREOCUPA, DIZ GOVERNO DO ACRE</t>
        </is>
      </c>
      <c r="I3106" t="inlineStr"/>
      <c r="J3106">
        <f>HYPERLINK("http://g1.globo.com/ac/acre/noticia/2014/01/em-7-dias-entrada-de-haitianos-triplica-e-acre-teme-tragedia.html", "URL")</f>
        <v/>
      </c>
      <c r="K3106">
        <f>HYPERLINK("https://raw.githubusercontent.com/marcosmapl/dataset_imigrantes/main/noticias_filtered/g1/haitianos/2014/00_jan/html/g1_95667c18-22f4-11ed-b24f-6dbe51e79fca_1899.html", "HTML")</f>
        <v/>
      </c>
      <c r="L3106">
        <f>HYPERLINK("https://raw.githubusercontent.com/marcosmapl/dataset_imigrantes/main/noticias_filtered/g1/haitianos/2014/00_jan/txt/g1_95667c18-22f4-11ed-b24f-6dbe51e79fca_1899.txt", "TXT")</f>
        <v/>
      </c>
    </row>
    <row r="3107">
      <c r="A3107" s="1" t="n">
        <v>3105</v>
      </c>
      <c r="B3107" t="n">
        <v>2014</v>
      </c>
      <c r="C3107" s="2" t="n">
        <v>41650.51041666666</v>
      </c>
      <c r="D3107" t="inlineStr">
        <is>
          <t>G1</t>
        </is>
      </c>
      <c r="E3107" t="inlineStr">
        <is>
          <t>VENEZUELANOS</t>
        </is>
      </c>
      <c r="F3107" t="inlineStr"/>
      <c r="G3107" t="inlineStr">
        <is>
          <t>RANCE PRESSE</t>
        </is>
      </c>
      <c r="H3107" t="inlineStr">
        <is>
          <t>EX-MISS VENEZUELANA E MARIDO SÃO ENTERRADOS EM CARACAS</t>
        </is>
      </c>
      <c r="I3107" t="inlineStr"/>
      <c r="J3107">
        <f>HYPERLINK("http://g1.globo.com/mundo/noticia/2014/01/miss-venezuelana-e-marido-sao-enterrados-na-venezuela.html", "URL")</f>
        <v/>
      </c>
      <c r="K3107">
        <f>HYPERLINK("https://raw.githubusercontent.com/marcosmapl/dataset_imigrantes/main/noticias_filtered/g1/venezuelanos/2014/00_jan/html/g1_d272fc7a-2318-11ed-b24f-6dbe51e79fca_3282.html", "HTML")</f>
        <v/>
      </c>
      <c r="L3107">
        <f>HYPERLINK("https://raw.githubusercontent.com/marcosmapl/dataset_imigrantes/main/noticias_filtered/g1/venezuelanos/2014/00_jan/txt/g1_d272fc7a-2318-11ed-b24f-6dbe51e79fca_3282.txt", "TXT")</f>
        <v/>
      </c>
    </row>
    <row r="3108">
      <c r="A3108" s="1" t="n">
        <v>3106</v>
      </c>
      <c r="B3108" t="n">
        <v>2014</v>
      </c>
      <c r="C3108" s="2" t="n">
        <v>41640.86805555555</v>
      </c>
      <c r="D3108" t="inlineStr">
        <is>
          <t>G1</t>
        </is>
      </c>
      <c r="E3108" t="inlineStr">
        <is>
          <t>HAITIANOS</t>
        </is>
      </c>
      <c r="F3108" t="inlineStr"/>
      <c r="G3108" t="inlineStr">
        <is>
          <t>1 RO COM INFORMAÇÕES DA TV RO</t>
        </is>
      </c>
      <c r="H3108" t="inlineStr">
        <is>
          <t>HAITIANOS CELEBRAM ANO NOVO E LIBERDADE COM SOPA TRADICIONAL EM RO</t>
        </is>
      </c>
      <c r="I3108" t="inlineStr"/>
      <c r="J3108">
        <f>HYPERLINK("http://g1.globo.com/ro/rondonia/noticia/2014/01/haitianos-celebram-ano-novo-e-liberdade-com-sopa-tradicional-em-ro.html", "URL")</f>
        <v/>
      </c>
      <c r="K3108">
        <f>HYPERLINK("https://raw.githubusercontent.com/marcosmapl/dataset_imigrantes/main/noticias_filtered/g1/haitianos/2014/00_jan/html/g1_5d28edf8-22fa-11ed-b24f-6dbe51e79fca_2214.html", "HTML")</f>
        <v/>
      </c>
      <c r="L3108">
        <f>HYPERLINK("https://raw.githubusercontent.com/marcosmapl/dataset_imigrantes/main/noticias_filtered/g1/haitianos/2014/00_jan/txt/g1_5d28edf8-22fa-11ed-b24f-6dbe51e79fca_2214.txt", "TXT")</f>
        <v/>
      </c>
    </row>
    <row r="3109">
      <c r="A3109" s="1" t="n">
        <v>3107</v>
      </c>
      <c r="B3109" t="n">
        <v>2013</v>
      </c>
      <c r="C3109" s="2" t="n">
        <v>41634.28194444445</v>
      </c>
      <c r="D3109" t="inlineStr">
        <is>
          <t>G1</t>
        </is>
      </c>
      <c r="E3109" t="inlineStr">
        <is>
          <t>HAITIANOS</t>
        </is>
      </c>
      <c r="F3109" t="inlineStr"/>
      <c r="G3109" t="inlineStr">
        <is>
          <t>LOBO RURAL</t>
        </is>
      </c>
      <c r="H3109" t="inlineStr">
        <is>
          <t>SALADA RUSSE É UM PRATO QUE NÃO PODE FALTAR NAS FESTAS DOS HAITIANOS</t>
        </is>
      </c>
      <c r="I3109" t="inlineStr"/>
      <c r="J3109">
        <f>HYPERLINK("http://g1.globo.com/economia/agronegocios/vida-rural/noticia/2013/12/salada-russe-e-um-prato-que-nao-pode-faltar-nas-festas-dos-haitianos.html", "URL")</f>
        <v/>
      </c>
      <c r="K3109">
        <f>HYPERLINK("https://raw.githubusercontent.com/marcosmapl/dataset_imigrantes/main/noticias_filtered/g1/haitianos/2013/11_dez/html/g1_d60790be-22f3-11ed-b24f-6dbe51e79fca_1860.html", "HTML")</f>
        <v/>
      </c>
      <c r="L3109">
        <f>HYPERLINK("https://raw.githubusercontent.com/marcosmapl/dataset_imigrantes/main/noticias_filtered/g1/haitianos/2013/11_dez/txt/g1_d60790be-22f3-11ed-b24f-6dbe51e79fca_1860.txt", "TXT")</f>
        <v/>
      </c>
    </row>
    <row r="3110">
      <c r="A3110" s="1" t="n">
        <v>3108</v>
      </c>
      <c r="B3110" t="n">
        <v>2013</v>
      </c>
      <c r="C3110" s="2" t="n">
        <v>41633.92013888889</v>
      </c>
      <c r="D3110" t="inlineStr">
        <is>
          <t>G1</t>
        </is>
      </c>
      <c r="E3110" t="inlineStr">
        <is>
          <t>HAITIANOS</t>
        </is>
      </c>
      <c r="F3110" t="inlineStr"/>
      <c r="G3110" t="inlineStr">
        <is>
          <t>RANCE PRESSE</t>
        </is>
      </c>
      <c r="H3110" t="inlineStr">
        <is>
          <t>NAUFRÁGIO NO CARIBE MATA 17 IMIGRANTES HAITIANOS</t>
        </is>
      </c>
      <c r="I3110" t="inlineStr"/>
      <c r="J3110">
        <f>HYPERLINK("http://g1.globo.com/mundo/noticia/2013/12/naufragio-no-caribe-mata-17-imigrantes-haitianos.html", "URL")</f>
        <v/>
      </c>
      <c r="K3110">
        <f>HYPERLINK("https://raw.githubusercontent.com/marcosmapl/dataset_imigrantes/main/noticias_filtered/g1/haitianos/2013/11_dez/html/g1_91b093ba-22f4-11ed-b24f-6dbe51e79fca_1898.html", "HTML")</f>
        <v/>
      </c>
      <c r="L3110">
        <f>HYPERLINK("https://raw.githubusercontent.com/marcosmapl/dataset_imigrantes/main/noticias_filtered/g1/haitianos/2013/11_dez/txt/g1_91b093ba-22f4-11ed-b24f-6dbe51e79fca_1898.txt", "TXT")</f>
        <v/>
      </c>
    </row>
    <row r="3111">
      <c r="A3111" s="1" t="n">
        <v>3109</v>
      </c>
      <c r="B3111" t="n">
        <v>2013</v>
      </c>
      <c r="C3111" s="2" t="n">
        <v>41633.76041666666</v>
      </c>
      <c r="D3111" t="inlineStr">
        <is>
          <t>G1</t>
        </is>
      </c>
      <c r="E3111" t="inlineStr">
        <is>
          <t>HAITIANOS</t>
        </is>
      </c>
      <c r="F3111" t="inlineStr"/>
      <c r="G3111" t="inlineStr">
        <is>
          <t>EUTERS</t>
        </is>
      </c>
      <c r="H3111" t="inlineStr">
        <is>
          <t>DEZOITO HAITIANOS MORREM APÓS NAUFRÁGIO EM TURKS E CAICOS</t>
        </is>
      </c>
      <c r="I3111" t="inlineStr"/>
      <c r="J3111">
        <f>HYPERLINK("http://g1.globo.com/mundo/noticia/2013/12/dezoito-haitianos-morrem-apos-naufragio-em-turks-e-caicos.html", "URL")</f>
        <v/>
      </c>
      <c r="K3111">
        <f>HYPERLINK("https://raw.githubusercontent.com/marcosmapl/dataset_imigrantes/main/noticias_filtered/g1/haitianos/2013/11_dez/html/g1_b1b0aab0-22f9-11ed-b24f-6dbe51e79fca_2179.html", "HTML")</f>
        <v/>
      </c>
      <c r="L3111">
        <f>HYPERLINK("https://raw.githubusercontent.com/marcosmapl/dataset_imigrantes/main/noticias_filtered/g1/haitianos/2013/11_dez/txt/g1_b1b0aab0-22f9-11ed-b24f-6dbe51e79fca_2179.txt", "TXT")</f>
        <v/>
      </c>
    </row>
    <row r="3112">
      <c r="A3112" s="1" t="n">
        <v>3110</v>
      </c>
      <c r="B3112" t="n">
        <v>2013</v>
      </c>
      <c r="C3112" s="2" t="n">
        <v>41626.78958333333</v>
      </c>
      <c r="D3112" t="inlineStr">
        <is>
          <t>G1</t>
        </is>
      </c>
      <c r="E3112" t="inlineStr">
        <is>
          <t>HAITIANOS</t>
        </is>
      </c>
      <c r="F3112" t="inlineStr"/>
      <c r="G3112" t="inlineStr">
        <is>
          <t>1 TO, COM INFORMAÇÕES DA TV ANHANGUERA</t>
        </is>
      </c>
      <c r="H3112" t="inlineStr">
        <is>
          <t>HAITIANOS E SENEGALESES CHEGAM PARA TRABALHAR EM FRIGORÍFICO DO TOCANTINS</t>
        </is>
      </c>
      <c r="I3112" t="inlineStr"/>
      <c r="J3112">
        <f>HYPERLINK("http://g1.globo.com/to/tocantins/noticia/2013/12/haitianos-e-senegaleses-chegam-para-trabalhar-em-frigorifico-do-tocantins.html", "URL")</f>
        <v/>
      </c>
      <c r="K3112">
        <f>HYPERLINK("https://raw.githubusercontent.com/marcosmapl/dataset_imigrantes/main/noticias_filtered/g1/haitianos/2013/11_dez/html/g1_6e2e2d32-22f2-11ed-b24f-6dbe51e79fca_1797.html", "HTML")</f>
        <v/>
      </c>
      <c r="L3112">
        <f>HYPERLINK("https://raw.githubusercontent.com/marcosmapl/dataset_imigrantes/main/noticias_filtered/g1/haitianos/2013/11_dez/txt/g1_6e2e2d32-22f2-11ed-b24f-6dbe51e79fca_1797.txt", "TXT")</f>
        <v/>
      </c>
    </row>
    <row r="3113">
      <c r="A3113" s="1" t="n">
        <v>3111</v>
      </c>
      <c r="B3113" t="n">
        <v>2013</v>
      </c>
      <c r="C3113" s="2" t="n">
        <v>41618.53263888889</v>
      </c>
      <c r="D3113" t="inlineStr">
        <is>
          <t>G1</t>
        </is>
      </c>
      <c r="E3113" t="inlineStr">
        <is>
          <t>HAITIANOS</t>
        </is>
      </c>
      <c r="F3113" t="inlineStr"/>
      <c r="G3113" t="inlineStr">
        <is>
          <t>1 AC</t>
        </is>
      </c>
      <c r="H3113" t="inlineStr">
        <is>
          <t>ACRE COMPRA MAIS DE R$ 1,2 MILHÃO EM COMIDA PARA HAITIANOS</t>
        </is>
      </c>
      <c r="I3113" t="inlineStr"/>
      <c r="J3113">
        <f>HYPERLINK("http://g1.globo.com/ac/acre/noticia/2013/12/acre-compra-mais-de-r-12-milhao-em-comida-para-haitianos.html", "URL")</f>
        <v/>
      </c>
      <c r="K3113">
        <f>HYPERLINK("https://raw.githubusercontent.com/marcosmapl/dataset_imigrantes/main/noticias_filtered/g1/haitianos/2013/11_dez/html/g1_f9f4f526-22f7-11ed-b24f-6dbe51e79fca_2109.html", "HTML")</f>
        <v/>
      </c>
      <c r="L3113">
        <f>HYPERLINK("https://raw.githubusercontent.com/marcosmapl/dataset_imigrantes/main/noticias_filtered/g1/haitianos/2013/11_dez/txt/g1_f9f4f526-22f7-11ed-b24f-6dbe51e79fca_2109.txt", "TXT")</f>
        <v/>
      </c>
    </row>
    <row r="3114">
      <c r="A3114" s="1" t="n">
        <v>3112</v>
      </c>
      <c r="B3114" t="n">
        <v>2013</v>
      </c>
      <c r="C3114" s="2" t="n">
        <v>41612.57291666666</v>
      </c>
      <c r="D3114" t="inlineStr">
        <is>
          <t>G1</t>
        </is>
      </c>
      <c r="E3114" t="inlineStr">
        <is>
          <t>VENEZUELANOS</t>
        </is>
      </c>
      <c r="F3114" t="inlineStr"/>
      <c r="G3114" t="inlineStr">
        <is>
          <t>FP</t>
        </is>
      </c>
      <c r="H3114" t="inlineStr">
        <is>
          <t>EMBAIXADA VENEZUELANA NO QUÊNIA TRAFICAVA DROGAS, DIZ TESTEMUNHA</t>
        </is>
      </c>
      <c r="I3114" t="inlineStr"/>
      <c r="J3114">
        <f>HYPERLINK("http://g1.globo.com/mundo/noticia/2013/12/embaixada-venezuelana-no-quenia-traficava-drogas-diz-testemunha.html", "URL")</f>
        <v/>
      </c>
      <c r="K3114">
        <f>HYPERLINK("https://raw.githubusercontent.com/marcosmapl/dataset_imigrantes/main/noticias_filtered/g1/venezuelanos/2013/11_dez/html/g1_bf0f0b9e-2307-11ed-b24f-6dbe51e79fca_2339.html", "HTML")</f>
        <v/>
      </c>
      <c r="L3114">
        <f>HYPERLINK("https://raw.githubusercontent.com/marcosmapl/dataset_imigrantes/main/noticias_filtered/g1/venezuelanos/2013/11_dez/txt/g1_bf0f0b9e-2307-11ed-b24f-6dbe51e79fca_2339.txt", "TXT")</f>
        <v/>
      </c>
    </row>
    <row r="3115">
      <c r="A3115" s="1" t="n">
        <v>3113</v>
      </c>
      <c r="B3115" t="n">
        <v>2013</v>
      </c>
      <c r="C3115" s="2" t="n">
        <v>41605.70833333334</v>
      </c>
      <c r="D3115" t="inlineStr">
        <is>
          <t>G1</t>
        </is>
      </c>
      <c r="E3115" t="inlineStr">
        <is>
          <t>HAITIANOS</t>
        </is>
      </c>
      <c r="F3115" t="inlineStr"/>
      <c r="G3115" t="inlineStr">
        <is>
          <t>EUTERS</t>
        </is>
      </c>
      <c r="H3115" t="inlineStr">
        <is>
          <t>IMIGRANTE HAITIANO SE AGARRA A PEDAÇO DE TRONCO E É SALVO APÓS NAUFRÁGIO</t>
        </is>
      </c>
      <c r="I3115" t="inlineStr"/>
      <c r="J3115">
        <f>HYPERLINK("http://g1.globo.com/mundo/noticia/2013/11/imigrante-haitiano-se-agarra-a-pedaco-de-tronco-e-e-salvo-nas-bahamas.html", "URL")</f>
        <v/>
      </c>
      <c r="K3115">
        <f>HYPERLINK("https://raw.githubusercontent.com/marcosmapl/dataset_imigrantes/main/noticias_filtered/g1/haitianos/2013/10_nov/html/g1_8c4abf6e-231b-11ed-b24f-6dbe51e79fca_3391.html", "HTML")</f>
        <v/>
      </c>
      <c r="L3115">
        <f>HYPERLINK("https://raw.githubusercontent.com/marcosmapl/dataset_imigrantes/main/noticias_filtered/g1/haitianos/2013/10_nov/txt/g1_8c4abf6e-231b-11ed-b24f-6dbe51e79fca_3391.txt", "TXT")</f>
        <v/>
      </c>
    </row>
    <row r="3116">
      <c r="A3116" s="1" t="n">
        <v>3114</v>
      </c>
      <c r="B3116" t="n">
        <v>2013</v>
      </c>
      <c r="C3116" s="2" t="n">
        <v>41605.34027777778</v>
      </c>
      <c r="D3116" t="inlineStr">
        <is>
          <t>G1</t>
        </is>
      </c>
      <c r="E3116" t="inlineStr">
        <is>
          <t>HAITIANOS</t>
        </is>
      </c>
      <c r="F3116" t="inlineStr"/>
      <c r="G3116" t="inlineStr">
        <is>
          <t>BC</t>
        </is>
      </c>
      <c r="H3116" t="inlineStr">
        <is>
          <t>BARCO SUPERLOTADO DE IMIGRANTES HAITIANOS VIRA NAS BAHAMAS</t>
        </is>
      </c>
      <c r="I3116" t="inlineStr"/>
      <c r="J3116">
        <f>HYPERLINK("http://g1.globo.com/mundo/noticia/2013/11/barco-superlotado-de-imigrantes-haitianos-vira-nas-bahamas.html", "URL")</f>
        <v/>
      </c>
      <c r="K3116">
        <f>HYPERLINK("https://raw.githubusercontent.com/marcosmapl/dataset_imigrantes/main/noticias_filtered/g1/haitianos/2013/10_nov/html/g1_7bb1ff14-22f8-11ed-b24f-6dbe51e79fca_2138.html", "HTML")</f>
        <v/>
      </c>
      <c r="L3116">
        <f>HYPERLINK("https://raw.githubusercontent.com/marcosmapl/dataset_imigrantes/main/noticias_filtered/g1/haitianos/2013/10_nov/txt/g1_7bb1ff14-22f8-11ed-b24f-6dbe51e79fca_2138.txt", "TXT")</f>
        <v/>
      </c>
    </row>
    <row r="3117">
      <c r="A3117" s="1" t="n">
        <v>3115</v>
      </c>
      <c r="B3117" t="n">
        <v>2013</v>
      </c>
      <c r="C3117" s="2" t="n">
        <v>41604.62152777778</v>
      </c>
      <c r="D3117" t="inlineStr">
        <is>
          <t>G1</t>
        </is>
      </c>
      <c r="E3117" t="inlineStr">
        <is>
          <t>HAITIANOS</t>
        </is>
      </c>
      <c r="F3117" t="inlineStr"/>
      <c r="G3117" t="inlineStr">
        <is>
          <t>1, EM SÃO PAULO</t>
        </is>
      </c>
      <c r="H3117" t="inlineStr">
        <is>
          <t>IMIGRANTES HAITIANOS MORREM EM NAUFRÁGIO NAS BAHAMAS</t>
        </is>
      </c>
      <c r="I3117" t="inlineStr"/>
      <c r="J3117">
        <f>HYPERLINK("http://g1.globo.com/mundo/noticia/2013/11/imigrantes-haitianos-morrem-em-naufragio-nas-bahamas.html", "URL")</f>
        <v/>
      </c>
      <c r="K3117">
        <f>HYPERLINK("https://raw.githubusercontent.com/marcosmapl/dataset_imigrantes/main/noticias_filtered/g1/haitianos/2013/10_nov/html/g1_31c0a7c8-22fa-11ed-b24f-6dbe51e79fca_2205.html", "HTML")</f>
        <v/>
      </c>
      <c r="L3117">
        <f>HYPERLINK("https://raw.githubusercontent.com/marcosmapl/dataset_imigrantes/main/noticias_filtered/g1/haitianos/2013/10_nov/txt/g1_31c0a7c8-22fa-11ed-b24f-6dbe51e79fca_2205.txt", "TXT")</f>
        <v/>
      </c>
    </row>
    <row r="3118">
      <c r="A3118" s="1" t="n">
        <v>3116</v>
      </c>
      <c r="B3118" t="n">
        <v>2013</v>
      </c>
      <c r="C3118" s="2" t="n">
        <v>41602.51875</v>
      </c>
      <c r="D3118" t="inlineStr">
        <is>
          <t>G1</t>
        </is>
      </c>
      <c r="E3118" t="inlineStr">
        <is>
          <t>HAITIANOS</t>
        </is>
      </c>
      <c r="F3118" t="inlineStr"/>
      <c r="G3118" t="inlineStr">
        <is>
          <t>1 MT</t>
        </is>
      </c>
      <c r="H3118" t="inlineStr">
        <is>
          <t>HAITIANOS CONCLUEM CURSO NA ÁREA DE CONSTRUÇÃO CIVIL EM MT PARA A COPA</t>
        </is>
      </c>
      <c r="I3118" t="inlineStr"/>
      <c r="J3118">
        <f>HYPERLINK("http://g1.globo.com/mato-grosso/noticia/2013/11/haitianos-concluem-curso-na-area-de-construcao-civil-em-mt-para-copa.html", "URL")</f>
        <v/>
      </c>
      <c r="K3118">
        <f>HYPERLINK("https://raw.githubusercontent.com/marcosmapl/dataset_imigrantes/main/noticias_filtered/g1/haitianos/2013/10_nov/html/g1_6fd445f8-22f8-11ed-b24f-6dbe51e79fca_2134.html", "HTML")</f>
        <v/>
      </c>
      <c r="L3118">
        <f>HYPERLINK("https://raw.githubusercontent.com/marcosmapl/dataset_imigrantes/main/noticias_filtered/g1/haitianos/2013/10_nov/txt/g1_6fd445f8-22f8-11ed-b24f-6dbe51e79fca_2134.txt", "TXT")</f>
        <v/>
      </c>
    </row>
    <row r="3119">
      <c r="A3119" s="1" t="n">
        <v>3117</v>
      </c>
      <c r="B3119" t="n">
        <v>2013</v>
      </c>
      <c r="C3119" s="2" t="n">
        <v>41598.54583333333</v>
      </c>
      <c r="D3119" t="inlineStr">
        <is>
          <t>G1</t>
        </is>
      </c>
      <c r="E3119" t="inlineStr">
        <is>
          <t>HAITIANOS</t>
        </is>
      </c>
      <c r="F3119" t="inlineStr"/>
      <c r="G3119" t="inlineStr">
        <is>
          <t>1 SOROCABA E JUNDIAÍ</t>
        </is>
      </c>
      <c r="H3119" t="inlineStr">
        <is>
          <t>HAITIANO QUE SE ACIDENTOU NA RODOVIA DOS BANDEIRANTES MORRE EM JUNDIAÍ</t>
        </is>
      </c>
      <c r="I3119" t="inlineStr"/>
      <c r="J3119">
        <f>HYPERLINK("http://g1.globo.com/sao-paulo/sorocaba-jundiai/noticia/2013/11/haitiano-que-se-acidentou-na-rodovia-dos-bandeirantes-morre-em-jundiai.html", "URL")</f>
        <v/>
      </c>
      <c r="K3119">
        <f>HYPERLINK("https://raw.githubusercontent.com/marcosmapl/dataset_imigrantes/main/noticias_filtered/g1/haitianos/2013/10_nov/html/g1_17a00b9a-2327-11ed-b24f-6dbe51e79fca_4017.html", "HTML")</f>
        <v/>
      </c>
      <c r="L3119">
        <f>HYPERLINK("https://raw.githubusercontent.com/marcosmapl/dataset_imigrantes/main/noticias_filtered/g1/haitianos/2013/10_nov/txt/g1_17a00b9a-2327-11ed-b24f-6dbe51e79fca_4017.txt", "TXT")</f>
        <v/>
      </c>
    </row>
    <row r="3120">
      <c r="A3120" s="1" t="n">
        <v>3118</v>
      </c>
      <c r="B3120" t="n">
        <v>2013</v>
      </c>
      <c r="C3120" s="2" t="n">
        <v>41584.88958333333</v>
      </c>
      <c r="D3120" t="inlineStr">
        <is>
          <t>G1</t>
        </is>
      </c>
      <c r="E3120" t="inlineStr">
        <is>
          <t>HAITIANOS</t>
        </is>
      </c>
      <c r="F3120" t="inlineStr"/>
      <c r="G3120" t="inlineStr">
        <is>
          <t>1 GO, COM INFORMAÇÕES DA TV ANHAGUERA</t>
        </is>
      </c>
      <c r="H3120" t="inlineStr">
        <is>
          <t>HAITIANOS QUE RECUSARAM ACORDO COM EMPRESA SÃO ABRIGADOS EM GOIÂNIA</t>
        </is>
      </c>
      <c r="I3120" t="inlineStr"/>
      <c r="J3120">
        <f>HYPERLINK("http://g1.globo.com/goias/noticia/2013/11/haitianos-que-recusaram-acordo-com-empresa-sao-abrigados-em-goiania.html", "URL")</f>
        <v/>
      </c>
      <c r="K3120">
        <f>HYPERLINK("https://raw.githubusercontent.com/marcosmapl/dataset_imigrantes/main/noticias_filtered/g1/haitianos/2013/10_nov/html/g1_e035f166-22f3-11ed-b24f-6dbe51e79fca_1863.html", "HTML")</f>
        <v/>
      </c>
      <c r="L3120">
        <f>HYPERLINK("https://raw.githubusercontent.com/marcosmapl/dataset_imigrantes/main/noticias_filtered/g1/haitianos/2013/10_nov/txt/g1_e035f166-22f3-11ed-b24f-6dbe51e79fca_1863.txt", "TXT")</f>
        <v/>
      </c>
    </row>
    <row r="3121">
      <c r="A3121" s="1" t="n">
        <v>3119</v>
      </c>
      <c r="B3121" t="n">
        <v>2013</v>
      </c>
      <c r="C3121" s="2" t="n">
        <v>41583.92083333333</v>
      </c>
      <c r="D3121" t="inlineStr">
        <is>
          <t>G1</t>
        </is>
      </c>
      <c r="E3121" t="inlineStr">
        <is>
          <t>HAITIANOS</t>
        </is>
      </c>
      <c r="F3121" t="inlineStr"/>
      <c r="G3121" t="inlineStr">
        <is>
          <t>1 GO, COM INFORMAÇÕES DA TV ANHANGUERA</t>
        </is>
      </c>
      <c r="H3121" t="inlineStr">
        <is>
          <t>HAITIANOS ALEGAM QUE FORAM ILUDIDOS POR PROMESSA DE TRABALHO EM GOIÁS</t>
        </is>
      </c>
      <c r="I3121" t="inlineStr"/>
      <c r="J3121">
        <f>HYPERLINK("http://g1.globo.com/goias/noticia/2013/11/haitianos-alegam-que-foram-iludidos-por-promessa-de-trabalho-em-goias.html", "URL")</f>
        <v/>
      </c>
      <c r="K3121">
        <f>HYPERLINK("https://raw.githubusercontent.com/marcosmapl/dataset_imigrantes/main/noticias_filtered/g1/haitianos/2013/10_nov/html/g1_a2e08d10-22fa-11ed-b24f-6dbe51e79fca_2233.html", "HTML")</f>
        <v/>
      </c>
      <c r="L3121">
        <f>HYPERLINK("https://raw.githubusercontent.com/marcosmapl/dataset_imigrantes/main/noticias_filtered/g1/haitianos/2013/10_nov/txt/g1_a2e08d10-22fa-11ed-b24f-6dbe51e79fca_2233.txt", "TXT")</f>
        <v/>
      </c>
    </row>
    <row r="3122">
      <c r="A3122" s="1" t="n">
        <v>3120</v>
      </c>
      <c r="B3122" t="n">
        <v>2013</v>
      </c>
      <c r="C3122" s="2" t="n">
        <v>41582.64861111111</v>
      </c>
      <c r="D3122" t="inlineStr">
        <is>
          <t>G1</t>
        </is>
      </c>
      <c r="E3122" t="inlineStr">
        <is>
          <t>HAITIANOS</t>
        </is>
      </c>
      <c r="F3122" t="inlineStr"/>
      <c r="G3122" t="inlineStr">
        <is>
          <t>1 AC</t>
        </is>
      </c>
      <c r="H3122" t="inlineStr">
        <is>
          <t>UFAC REALIZA SIMPÓSIO SOBRE LINGUAGENS E IDENTIDADES</t>
        </is>
      </c>
      <c r="I3122" t="inlineStr"/>
      <c r="J3122">
        <f>HYPERLINK("http://g1.globo.com/ac/acre/noticia/2013/11/ufac-realiza-simposio-sobre-linguagens-e-identidades.html", "URL")</f>
        <v/>
      </c>
      <c r="K3122">
        <f>HYPERLINK("https://raw.githubusercontent.com/marcosmapl/dataset_imigrantes/main/noticias_filtered/g1/haitianos/2013/10_nov/html/g1_8f1524e0-231c-11ed-b24f-6dbe51e79fca_3452.html", "HTML")</f>
        <v/>
      </c>
      <c r="L3122">
        <f>HYPERLINK("https://raw.githubusercontent.com/marcosmapl/dataset_imigrantes/main/noticias_filtered/g1/haitianos/2013/10_nov/txt/g1_8f1524e0-231c-11ed-b24f-6dbe51e79fca_3452.txt", "TXT")</f>
        <v/>
      </c>
    </row>
    <row r="3123">
      <c r="A3123" s="1" t="n">
        <v>3121</v>
      </c>
      <c r="B3123" t="n">
        <v>2013</v>
      </c>
      <c r="C3123" s="2" t="n">
        <v>41581.68055555555</v>
      </c>
      <c r="D3123" t="inlineStr">
        <is>
          <t>G1</t>
        </is>
      </c>
      <c r="E3123" t="inlineStr">
        <is>
          <t>HAITIANOS</t>
        </is>
      </c>
      <c r="F3123" t="inlineStr"/>
      <c r="G3123" t="inlineStr">
        <is>
          <t>1 RO</t>
        </is>
      </c>
      <c r="H3123" t="inlineStr">
        <is>
          <t>VOCÊ VIU? HAITIANO NO ENEM, CADELA ADOTA LEITÃO E MAIS NOTÍCIAS DE RO</t>
        </is>
      </c>
      <c r="I3123" t="inlineStr"/>
      <c r="J3123">
        <f>HYPERLINK("http://g1.globo.com/ro/rondonia/noticia/2013/11/voce-viu-haitiano-no-enem-cadela-adota-leitao-e-mais-noticias-de-ro.html", "URL")</f>
        <v/>
      </c>
      <c r="K3123">
        <f>HYPERLINK("https://raw.githubusercontent.com/marcosmapl/dataset_imigrantes/main/noticias_filtered/g1/haitianos/2013/10_nov/html/g1_fb13dee2-2309-11ed-b24f-6dbe51e79fca_2478.html", "HTML")</f>
        <v/>
      </c>
      <c r="L3123">
        <f>HYPERLINK("https://raw.githubusercontent.com/marcosmapl/dataset_imigrantes/main/noticias_filtered/g1/haitianos/2013/10_nov/txt/g1_fb13dee2-2309-11ed-b24f-6dbe51e79fca_2478.txt", "TXT")</f>
        <v/>
      </c>
    </row>
    <row r="3124">
      <c r="A3124" s="1" t="n">
        <v>3122</v>
      </c>
      <c r="B3124" t="n">
        <v>2013</v>
      </c>
      <c r="C3124" s="2" t="n">
        <v>41574.82430555556</v>
      </c>
      <c r="D3124" t="inlineStr">
        <is>
          <t>G1</t>
        </is>
      </c>
      <c r="E3124" t="inlineStr">
        <is>
          <t>VENEZUELANOS</t>
        </is>
      </c>
      <c r="F3124" t="inlineStr"/>
      <c r="G3124" t="inlineStr">
        <is>
          <t>OS DANTASDO G1 AM</t>
        </is>
      </c>
      <c r="H3124" t="inlineStr">
        <is>
          <t>'TRABALHAR COM INDÍGENAS É DESAFIO', AVALIA MÉDICA VENEZUELANA, NO AM</t>
        </is>
      </c>
      <c r="I3124" t="inlineStr"/>
      <c r="J3124">
        <f>HYPERLINK("http://g1.globo.com/am/amazonas/noticia/2013/10/trabalhar-com-indigenas-e-desafio-avalia-medica-venezuelana-no-am.html", "URL")</f>
        <v/>
      </c>
      <c r="K3124">
        <f>HYPERLINK("https://raw.githubusercontent.com/marcosmapl/dataset_imigrantes/main/noticias_filtered/g1/venezuelanos/2013/09_out/html/g1_9cb87a60-2322-11ed-b24f-6dbe51e79fca_3761.html", "HTML")</f>
        <v/>
      </c>
      <c r="L3124">
        <f>HYPERLINK("https://raw.githubusercontent.com/marcosmapl/dataset_imigrantes/main/noticias_filtered/g1/venezuelanos/2013/09_out/txt/g1_9cb87a60-2322-11ed-b24f-6dbe51e79fca_3761.txt", "TXT")</f>
        <v/>
      </c>
    </row>
    <row r="3125">
      <c r="A3125" s="1" t="n">
        <v>3123</v>
      </c>
      <c r="B3125" t="n">
        <v>2013</v>
      </c>
      <c r="C3125" s="2" t="n">
        <v>41574.54097222222</v>
      </c>
      <c r="D3125" t="inlineStr">
        <is>
          <t>G1</t>
        </is>
      </c>
      <c r="E3125" t="inlineStr">
        <is>
          <t>HAITIANOS</t>
        </is>
      </c>
      <c r="F3125" t="inlineStr"/>
      <c r="G3125" t="inlineStr">
        <is>
          <t>1 RO</t>
        </is>
      </c>
      <c r="H3125" t="inlineStr">
        <is>
          <t>EM RO, HAITIANO VÊ NO ENEM UMA CHANCE PARA MUDAR DE VIDA</t>
        </is>
      </c>
      <c r="I3125" t="inlineStr"/>
      <c r="J3125">
        <f>HYPERLINK("http://g1.globo.com/ro/rondonia/noticia/2013/10/em-ro-haitiano-ve-no-enem-uma-chance-de-mudar-de-vida.html", "URL")</f>
        <v/>
      </c>
      <c r="K3125">
        <f>HYPERLINK("https://raw.githubusercontent.com/marcosmapl/dataset_imigrantes/main/noticias_filtered/g1/haitianos/2013/09_out/html/g1_9cd347f8-230b-11ed-b24f-6dbe51e79fca_2575.html", "HTML")</f>
        <v/>
      </c>
      <c r="L3125">
        <f>HYPERLINK("https://raw.githubusercontent.com/marcosmapl/dataset_imigrantes/main/noticias_filtered/g1/haitianos/2013/09_out/txt/g1_9cd347f8-230b-11ed-b24f-6dbe51e79fca_2575.txt", "TXT")</f>
        <v/>
      </c>
    </row>
    <row r="3126">
      <c r="A3126" s="1" t="n">
        <v>3124</v>
      </c>
      <c r="B3126" t="n">
        <v>2013</v>
      </c>
      <c r="C3126" s="2" t="n">
        <v>41566.34027777778</v>
      </c>
      <c r="D3126" t="inlineStr">
        <is>
          <t>G1</t>
        </is>
      </c>
      <c r="E3126" t="inlineStr">
        <is>
          <t>HAITIANOS</t>
        </is>
      </c>
      <c r="F3126" t="inlineStr"/>
      <c r="G3126" t="inlineStr">
        <is>
          <t>ANE STOCHERODO G1, EM PORTO PRÍNCIPE - A REPÓRTER VIAJOU A CONVITE DO MINISTÉRIO DA DEFESA</t>
        </is>
      </c>
      <c r="H3126" t="inlineStr">
        <is>
          <t>IMIGRAÇÃO ILEGAL AO BRASIL MOVIMENTA ECONOMIA HAITIANA PÓS TERREMOTO</t>
        </is>
      </c>
      <c r="I3126" t="inlineStr"/>
      <c r="J3126">
        <f>HYPERLINK("http://g1.globo.com/mundo/noticia/2013/10/imigracao-ilegal-ao-brasil-movimenta-economia-haitiana-pos-terremoto.html", "URL")</f>
        <v/>
      </c>
      <c r="K3126">
        <f>HYPERLINK("https://raw.githubusercontent.com/marcosmapl/dataset_imigrantes/main/noticias_filtered/g1/haitianos/2013/09_out/html/g1_2e6a4010-232d-11ed-b24f-6dbe51e79fca_4346.html", "HTML")</f>
        <v/>
      </c>
      <c r="L3126">
        <f>HYPERLINK("https://raw.githubusercontent.com/marcosmapl/dataset_imigrantes/main/noticias_filtered/g1/haitianos/2013/09_out/txt/g1_2e6a4010-232d-11ed-b24f-6dbe51e79fca_4346.txt", "TXT")</f>
        <v/>
      </c>
    </row>
    <row r="3127">
      <c r="A3127" s="1" t="n">
        <v>3125</v>
      </c>
      <c r="B3127" t="n">
        <v>2013</v>
      </c>
      <c r="C3127" s="2" t="n">
        <v>41565.29305555556</v>
      </c>
      <c r="D3127" t="inlineStr">
        <is>
          <t>G1</t>
        </is>
      </c>
      <c r="E3127" t="inlineStr">
        <is>
          <t>HAITIANOS</t>
        </is>
      </c>
      <c r="F3127" t="inlineStr"/>
      <c r="G3127" t="inlineStr">
        <is>
          <t>ANE STOCHERODO G1, EM PORTO PRÍNCIPE - A REPÓRTER VIAJOU A CONVITE DO MINISTÉRIO DA DEFESA</t>
        </is>
      </c>
      <c r="H3127" t="inlineStr">
        <is>
          <t>ACOSTUMADOS A MILITARES BRASILEIROS, HAITIANOS BUSCAM TERRA DE 'GENTE BOA'</t>
        </is>
      </c>
      <c r="I3127" t="inlineStr"/>
      <c r="J3127">
        <f>HYPERLINK("http://g1.globo.com/mundo/noticia/2013/10/acostumados-militares-brasileiros-haitianos-buscam-terra-de-gente-boa.html", "URL")</f>
        <v/>
      </c>
      <c r="K3127">
        <f>HYPERLINK("https://raw.githubusercontent.com/marcosmapl/dataset_imigrantes/main/noticias_filtered/g1/haitianos/2013/09_out/html/g1_54f424b0-22f8-11ed-b24f-6dbe51e79fca_2128.html", "HTML")</f>
        <v/>
      </c>
      <c r="L3127">
        <f>HYPERLINK("https://raw.githubusercontent.com/marcosmapl/dataset_imigrantes/main/noticias_filtered/g1/haitianos/2013/09_out/txt/g1_54f424b0-22f8-11ed-b24f-6dbe51e79fca_2128.txt", "TXT")</f>
        <v/>
      </c>
    </row>
    <row r="3128">
      <c r="A3128" s="1" t="n">
        <v>3126</v>
      </c>
      <c r="B3128" t="n">
        <v>2013</v>
      </c>
      <c r="C3128" s="2" t="n">
        <v>41564.67361111111</v>
      </c>
      <c r="D3128" t="inlineStr">
        <is>
          <t>G1</t>
        </is>
      </c>
      <c r="E3128" t="inlineStr">
        <is>
          <t>HAITIANOS</t>
        </is>
      </c>
      <c r="F3128" t="inlineStr"/>
      <c r="G3128" t="inlineStr">
        <is>
          <t>FP</t>
        </is>
      </c>
      <c r="H3128" t="inlineStr">
        <is>
          <t>MILHARES DE PESSOAS PROTESTAM CONTRA GOVERNO HAITIANO</t>
        </is>
      </c>
      <c r="I3128" t="inlineStr"/>
      <c r="J3128">
        <f>HYPERLINK("http://g1.globo.com/mundo/noticia/2013/10/milhares-de-pessoas-protestam-contra-governo-haitiano.html", "URL")</f>
        <v/>
      </c>
      <c r="K3128">
        <f>HYPERLINK("https://raw.githubusercontent.com/marcosmapl/dataset_imigrantes/main/noticias_filtered/g1/haitianos/2013/09_out/html/g1_586a166a-2328-11ed-b24f-6dbe51e79fca_4074.html", "HTML")</f>
        <v/>
      </c>
      <c r="L3128">
        <f>HYPERLINK("https://raw.githubusercontent.com/marcosmapl/dataset_imigrantes/main/noticias_filtered/g1/haitianos/2013/09_out/txt/g1_586a166a-2328-11ed-b24f-6dbe51e79fca_4074.txt", "TXT")</f>
        <v/>
      </c>
    </row>
    <row r="3129">
      <c r="A3129" s="1" t="n">
        <v>3127</v>
      </c>
      <c r="B3129" t="n">
        <v>2013</v>
      </c>
      <c r="C3129" s="2" t="n">
        <v>41548.66944444444</v>
      </c>
      <c r="D3129" t="inlineStr">
        <is>
          <t>G1</t>
        </is>
      </c>
      <c r="E3129" t="inlineStr">
        <is>
          <t>VENEZUELANOS</t>
        </is>
      </c>
      <c r="F3129" t="inlineStr"/>
      <c r="G3129" t="inlineStr"/>
      <c r="H3129" t="inlineStr">
        <is>
          <t>ORGANIZAÇÃO VENEZUELANA PRETENDE CLONAR HUGO CHÁVEZ</t>
        </is>
      </c>
      <c r="I3129" t="inlineStr"/>
      <c r="J3129">
        <f>HYPERLINK("http://g1.globo.com/globo-news/noticia/2013/10/organizacao-venezuelana-pretende-clonar-hugo-chavez.html", "URL")</f>
        <v/>
      </c>
      <c r="K3129">
        <f>HYPERLINK("https://raw.githubusercontent.com/marcosmapl/dataset_imigrantes/main/noticias_filtered/g1/venezuelanos/2013/09_out/html/g1_507ed616-230a-11ed-b24f-6dbe51e79fca_2497.html", "HTML")</f>
        <v/>
      </c>
      <c r="L3129">
        <f>HYPERLINK("https://raw.githubusercontent.com/marcosmapl/dataset_imigrantes/main/noticias_filtered/g1/venezuelanos/2013/09_out/txt/g1_507ed616-230a-11ed-b24f-6dbe51e79fca_2497.txt", "TXT")</f>
        <v/>
      </c>
    </row>
    <row r="3130">
      <c r="A3130" s="1" t="n">
        <v>3128</v>
      </c>
      <c r="B3130" t="n">
        <v>2013</v>
      </c>
      <c r="C3130" s="2" t="n">
        <v>41547.25902777778</v>
      </c>
      <c r="D3130" t="inlineStr">
        <is>
          <t>G1</t>
        </is>
      </c>
      <c r="E3130" t="inlineStr">
        <is>
          <t>HAITIANOS</t>
        </is>
      </c>
      <c r="F3130" t="inlineStr"/>
      <c r="G3130" t="inlineStr">
        <is>
          <t>ANE STOCHERO E YURI MARCELDO G1, EM SÃO PAULO E DO G1 AC</t>
        </is>
      </c>
      <c r="H3130" t="inlineStr">
        <is>
          <t>TRIPLICA EM 2013 NÚMERO DE HAITIANOS ILEGAIS QUE ENTRAM PELO ACRE</t>
        </is>
      </c>
      <c r="I3130" t="inlineStr"/>
      <c r="J3130">
        <f>HYPERLINK("http://g1.globo.com/ac/acre/noticia/2013/09/triplica-em-2013-numero-de-haitianos-ilegais-que-entram-pelo-acre.html", "URL")</f>
        <v/>
      </c>
      <c r="K3130">
        <f>HYPERLINK("https://raw.githubusercontent.com/marcosmapl/dataset_imigrantes/main/noticias_filtered/g1/haitianos/2013/08_set/html/g1_263a5b96-22f6-11ed-b24f-6dbe51e79fca_1996.html", "HTML")</f>
        <v/>
      </c>
      <c r="L3130">
        <f>HYPERLINK("https://raw.githubusercontent.com/marcosmapl/dataset_imigrantes/main/noticias_filtered/g1/haitianos/2013/08_set/txt/g1_263a5b96-22f6-11ed-b24f-6dbe51e79fca_1996.txt", "TXT")</f>
        <v/>
      </c>
    </row>
    <row r="3131">
      <c r="A3131" s="1" t="n">
        <v>3129</v>
      </c>
      <c r="B3131" t="n">
        <v>2013</v>
      </c>
      <c r="C3131" s="2" t="n">
        <v>41546.375</v>
      </c>
      <c r="D3131" t="inlineStr">
        <is>
          <t>G1</t>
        </is>
      </c>
      <c r="E3131" t="inlineStr">
        <is>
          <t>HAITIANOS</t>
        </is>
      </c>
      <c r="F3131" t="inlineStr"/>
      <c r="G3131" t="inlineStr">
        <is>
          <t>ANE CORDEIRODO G1 PR, EM PARANAVAÍ</t>
        </is>
      </c>
      <c r="H3131" t="inlineStr">
        <is>
          <t>HAITIANOS USAM MÚSICAS E LIVROS PARA SE ADAPTAR À CULTURA BRASILEIRA</t>
        </is>
      </c>
      <c r="I3131" t="inlineStr"/>
      <c r="J3131">
        <f>HYPERLINK("http://g1.globo.com/pr/norte-noroeste/noticia/2013/09/haitianos-usam-musicas-e-livros-para-se-adaptar-cultura-brasileira.html", "URL")</f>
        <v/>
      </c>
      <c r="K3131">
        <f>HYPERLINK("https://raw.githubusercontent.com/marcosmapl/dataset_imigrantes/main/noticias_filtered/g1/haitianos/2013/08_set/html/g1_d268a2c4-22f6-11ed-b24f-6dbe51e79fca_2040.html", "HTML")</f>
        <v/>
      </c>
      <c r="L3131">
        <f>HYPERLINK("https://raw.githubusercontent.com/marcosmapl/dataset_imigrantes/main/noticias_filtered/g1/haitianos/2013/08_set/txt/g1_d268a2c4-22f6-11ed-b24f-6dbe51e79fca_2040.txt", "TXT")</f>
        <v/>
      </c>
    </row>
    <row r="3132">
      <c r="A3132" s="1" t="n">
        <v>3130</v>
      </c>
      <c r="B3132" t="n">
        <v>2013</v>
      </c>
      <c r="C3132" s="2" t="n">
        <v>41544.6875</v>
      </c>
      <c r="D3132" t="inlineStr">
        <is>
          <t>G1</t>
        </is>
      </c>
      <c r="E3132" t="inlineStr">
        <is>
          <t>VENEZUELANOS</t>
        </is>
      </c>
      <c r="F3132" t="inlineStr"/>
      <c r="G3132" t="inlineStr">
        <is>
          <t>CIA EFE</t>
        </is>
      </c>
      <c r="H3132" t="inlineStr">
        <is>
          <t>BRASILEIRAS E VENEZUELANAS IMPULSIONAM SEDUTOR MERCADO DE COSMÉTICOS</t>
        </is>
      </c>
      <c r="I3132" t="inlineStr"/>
      <c r="J3132">
        <f>HYPERLINK("http://g1.globo.com/mundo/noticia/2013/09/brasileiras-e-venezuelanas-impulsionam-sedutor-mercado-de-cosmeticos.html", "URL")</f>
        <v/>
      </c>
      <c r="K3132">
        <f>HYPERLINK("https://raw.githubusercontent.com/marcosmapl/dataset_imigrantes/main/noticias_filtered/g1/venezuelanos/2013/08_set/html/g1_cf612a70-2313-11ed-b24f-6dbe51e79fca_3028.html", "HTML")</f>
        <v/>
      </c>
      <c r="L3132">
        <f>HYPERLINK("https://raw.githubusercontent.com/marcosmapl/dataset_imigrantes/main/noticias_filtered/g1/venezuelanos/2013/08_set/txt/g1_cf612a70-2313-11ed-b24f-6dbe51e79fca_3028.txt", "TXT")</f>
        <v/>
      </c>
    </row>
    <row r="3133">
      <c r="A3133" s="1" t="n">
        <v>3131</v>
      </c>
      <c r="B3133" t="n">
        <v>2013</v>
      </c>
      <c r="C3133" s="2" t="n">
        <v>41544.65208333333</v>
      </c>
      <c r="D3133" t="inlineStr">
        <is>
          <t>G1</t>
        </is>
      </c>
      <c r="E3133" t="inlineStr">
        <is>
          <t>VENEZUELANOS</t>
        </is>
      </c>
      <c r="F3133" t="inlineStr"/>
      <c r="G3133" t="inlineStr">
        <is>
          <t>1, EM SÃO PAULO</t>
        </is>
      </c>
      <c r="H3133" t="inlineStr">
        <is>
          <t>CRIATURA MISTERIOSA ASSUSTA MORADORES DE CIDADE VENEZUELANA</t>
        </is>
      </c>
      <c r="I3133" t="inlineStr"/>
      <c r="J3133">
        <f>HYPERLINK("http://g1.globo.com/planeta-bizarro/noticia/2013/09/criatura-misteriosa-assusta-moradores-de-cidade-venezuelana.html", "URL")</f>
        <v/>
      </c>
      <c r="K3133">
        <f>HYPERLINK("https://raw.githubusercontent.com/marcosmapl/dataset_imigrantes/main/noticias_filtered/g1/venezuelanos/2013/08_set/html/g1_e0675898-2323-11ed-b24f-6dbe51e79fca_3834.html", "HTML")</f>
        <v/>
      </c>
      <c r="L3133">
        <f>HYPERLINK("https://raw.githubusercontent.com/marcosmapl/dataset_imigrantes/main/noticias_filtered/g1/venezuelanos/2013/08_set/txt/g1_e0675898-2323-11ed-b24f-6dbe51e79fca_3834.txt", "TXT")</f>
        <v/>
      </c>
    </row>
    <row r="3134">
      <c r="A3134" s="1" t="n">
        <v>3132</v>
      </c>
      <c r="B3134" t="n">
        <v>2013</v>
      </c>
      <c r="C3134" s="2" t="n">
        <v>41537.26041666666</v>
      </c>
      <c r="D3134" t="inlineStr">
        <is>
          <t>G1</t>
        </is>
      </c>
      <c r="E3134" t="inlineStr">
        <is>
          <t>HAITIANOS</t>
        </is>
      </c>
      <c r="F3134" t="inlineStr"/>
      <c r="G3134" t="inlineStr">
        <is>
          <t>CIA EFE</t>
        </is>
      </c>
      <c r="H3134" t="inlineStr">
        <is>
          <t>HAITI FASHION WEEK: A MODA DEVOLVE A ESPERANÇA AO PAÍS</t>
        </is>
      </c>
      <c r="I3134" t="inlineStr"/>
      <c r="J3134">
        <f>HYPERLINK("http://g1.globo.com/pop-arte/noticia/2013/09/haiti-fashion-week-a-moda-devolve-a-esperanca-ao-pais.html", "URL")</f>
        <v/>
      </c>
      <c r="K3134">
        <f>HYPERLINK("https://raw.githubusercontent.com/marcosmapl/dataset_imigrantes/main/noticias_filtered/g1/haitianos/2013/08_set/html/g1_f22805b2-2307-11ed-b24f-6dbe51e79fca_2354.html", "HTML")</f>
        <v/>
      </c>
      <c r="L3134">
        <f>HYPERLINK("https://raw.githubusercontent.com/marcosmapl/dataset_imigrantes/main/noticias_filtered/g1/haitianos/2013/08_set/txt/g1_f22805b2-2307-11ed-b24f-6dbe51e79fca_2354.txt", "TXT")</f>
        <v/>
      </c>
    </row>
    <row r="3135">
      <c r="A3135" s="1" t="n">
        <v>3133</v>
      </c>
      <c r="B3135" t="n">
        <v>2013</v>
      </c>
      <c r="C3135" s="2" t="n">
        <v>41528.76388888889</v>
      </c>
      <c r="D3135" t="inlineStr">
        <is>
          <t>G1</t>
        </is>
      </c>
      <c r="E3135" t="inlineStr">
        <is>
          <t>VENEZUELANOS</t>
        </is>
      </c>
      <c r="F3135" t="inlineStr"/>
      <c r="G3135" t="inlineStr">
        <is>
          <t>ERS</t>
        </is>
      </c>
      <c r="H3135" t="inlineStr">
        <is>
          <t>PETROLEIRA CHEVRON FIRMA PARCERIA COM VENEZUELANA PDVSA</t>
        </is>
      </c>
      <c r="I3135" t="inlineStr"/>
      <c r="J3135">
        <f>HYPERLINK("http://g1.globo.com/economia/noticia/2013/09/petroleira-chevron-firma-parceria-com-venezuelana-pdvsa.html", "URL")</f>
        <v/>
      </c>
      <c r="K3135">
        <f>HYPERLINK("https://raw.githubusercontent.com/marcosmapl/dataset_imigrantes/main/noticias_filtered/g1/venezuelanos/2013/08_set/html/g1_34870318-2308-11ed-b24f-6dbe51e79fca_2372.html", "HTML")</f>
        <v/>
      </c>
      <c r="L3135">
        <f>HYPERLINK("https://raw.githubusercontent.com/marcosmapl/dataset_imigrantes/main/noticias_filtered/g1/venezuelanos/2013/08_set/txt/g1_34870318-2308-11ed-b24f-6dbe51e79fca_2372.txt", "TXT")</f>
        <v/>
      </c>
    </row>
    <row r="3136">
      <c r="A3136" s="1" t="n">
        <v>3134</v>
      </c>
      <c r="B3136" t="n">
        <v>2013</v>
      </c>
      <c r="C3136" s="2" t="n">
        <v>41519.49930555555</v>
      </c>
      <c r="D3136" t="inlineStr">
        <is>
          <t>G1</t>
        </is>
      </c>
      <c r="E3136" t="inlineStr">
        <is>
          <t>HAITIANOS</t>
        </is>
      </c>
      <c r="F3136" t="inlineStr"/>
      <c r="G3136" t="inlineStr">
        <is>
          <t>1 AC</t>
        </is>
      </c>
      <c r="H3136" t="inlineStr">
        <is>
          <t>ACRE CONTINUA RECEBENDO MÉDIA DE 20 HAITIANOS POR DIA</t>
        </is>
      </c>
      <c r="I3136" t="inlineStr"/>
      <c r="J3136">
        <f>HYPERLINK("http://g1.globo.com/ac/acre/noticia/2013/09/acre-continua-recebendo-media-de-20-haitianos-por-dia.html", "URL")</f>
        <v/>
      </c>
      <c r="K3136">
        <f>HYPERLINK("https://raw.githubusercontent.com/marcosmapl/dataset_imigrantes/main/noticias_filtered/g1/haitianos/2013/08_set/html/g1_6ff80294-22f4-11ed-b24f-6dbe51e79fca_1889.html", "HTML")</f>
        <v/>
      </c>
      <c r="L3136">
        <f>HYPERLINK("https://raw.githubusercontent.com/marcosmapl/dataset_imigrantes/main/noticias_filtered/g1/haitianos/2013/08_set/txt/g1_6ff80294-22f4-11ed-b24f-6dbe51e79fca_1889.txt", "TXT")</f>
        <v/>
      </c>
    </row>
    <row r="3137">
      <c r="A3137" s="1" t="n">
        <v>3135</v>
      </c>
      <c r="B3137" t="n">
        <v>2013</v>
      </c>
      <c r="C3137" s="2" t="n">
        <v>41518.47361111111</v>
      </c>
      <c r="D3137" t="inlineStr">
        <is>
          <t>G1</t>
        </is>
      </c>
      <c r="E3137" t="inlineStr">
        <is>
          <t>HAITIANOS</t>
        </is>
      </c>
      <c r="F3137" t="inlineStr"/>
      <c r="G3137" t="inlineStr">
        <is>
          <t>1 AC</t>
        </is>
      </c>
      <c r="H3137" t="inlineStr">
        <is>
          <t>VOCÊ VIU? VEREADOR PRESO, CASO OSMIR NETO, HAITIANOS E MAIS NOTÍCIAS</t>
        </is>
      </c>
      <c r="I3137" t="inlineStr"/>
      <c r="J3137">
        <f>HYPERLINK("http://g1.globo.com/ac/acre/noticia/2013/09/voce-viu-vereador-preso-caso-osmir-neto-haitianos-e-mais-noticias.html", "URL")</f>
        <v/>
      </c>
      <c r="K3137">
        <f>HYPERLINK("https://raw.githubusercontent.com/marcosmapl/dataset_imigrantes/main/noticias_filtered/g1/haitianos/2013/08_set/html/g1_bf148af2-22f2-11ed-b24f-6dbe51e79fca_1812.html", "HTML")</f>
        <v/>
      </c>
      <c r="L3137">
        <f>HYPERLINK("https://raw.githubusercontent.com/marcosmapl/dataset_imigrantes/main/noticias_filtered/g1/haitianos/2013/08_set/txt/g1_bf148af2-22f2-11ed-b24f-6dbe51e79fca_1812.txt", "TXT")</f>
        <v/>
      </c>
    </row>
    <row r="3138">
      <c r="A3138" s="1" t="n">
        <v>3136</v>
      </c>
      <c r="B3138" t="n">
        <v>2013</v>
      </c>
      <c r="C3138" s="2" t="n">
        <v>41514.50902777778</v>
      </c>
      <c r="D3138" t="inlineStr">
        <is>
          <t>G1</t>
        </is>
      </c>
      <c r="E3138" t="inlineStr">
        <is>
          <t>HAITIANOS</t>
        </is>
      </c>
      <c r="F3138" t="inlineStr"/>
      <c r="G3138" t="inlineStr">
        <is>
          <t>1 AC</t>
        </is>
      </c>
      <c r="H3138" t="inlineStr">
        <is>
          <t>MS LIBERA R$ 56 MIL PARA COMPENSAR GASTOS COM HAITIANOS NO ACRE</t>
        </is>
      </c>
      <c r="I3138" t="inlineStr"/>
      <c r="J3138">
        <f>HYPERLINK("http://g1.globo.com/ac/acre/noticia/2013/08/ms-libera-r-56-mil-para-compensar-gastos-com-haitianos-no-acre.html", "URL")</f>
        <v/>
      </c>
      <c r="K3138">
        <f>HYPERLINK("https://raw.githubusercontent.com/marcosmapl/dataset_imigrantes/main/noticias_filtered/g1/haitianos/2013/07_ago/html/g1_233d97c8-22f6-11ed-b24f-6dbe51e79fca_1995.html", "HTML")</f>
        <v/>
      </c>
      <c r="L3138">
        <f>HYPERLINK("https://raw.githubusercontent.com/marcosmapl/dataset_imigrantes/main/noticias_filtered/g1/haitianos/2013/07_ago/txt/g1_233d97c8-22f6-11ed-b24f-6dbe51e79fca_1995.txt", "TXT")</f>
        <v/>
      </c>
    </row>
    <row r="3139">
      <c r="A3139" s="1" t="n">
        <v>3137</v>
      </c>
      <c r="B3139" t="n">
        <v>2013</v>
      </c>
      <c r="C3139" s="2" t="n">
        <v>41511.73888888889</v>
      </c>
      <c r="D3139" t="inlineStr">
        <is>
          <t>G1</t>
        </is>
      </c>
      <c r="E3139" t="inlineStr">
        <is>
          <t>VENEZUELANOS</t>
        </is>
      </c>
      <c r="F3139" t="inlineStr"/>
      <c r="G3139" t="inlineStr">
        <is>
          <t>FP</t>
        </is>
      </c>
      <c r="H3139" t="inlineStr">
        <is>
          <t>VENEZUELANAS DOAM CABELO PARA AJUDAR CRIANÇAS COM CÂNCER</t>
        </is>
      </c>
      <c r="I3139" t="inlineStr"/>
      <c r="J3139">
        <f>HYPERLINK("http://g1.globo.com/bemestar/noticia/2013/08/venezuelanas-doam-cabelo-para-ajudar-criancas-com-cancer.html", "URL")</f>
        <v/>
      </c>
      <c r="K3139">
        <f>HYPERLINK("https://raw.githubusercontent.com/marcosmapl/dataset_imigrantes/main/noticias_filtered/g1/venezuelanos/2013/07_ago/html/g1_8f11dca8-2309-11ed-b24f-6dbe51e79fca_2452.html", "HTML")</f>
        <v/>
      </c>
      <c r="L3139">
        <f>HYPERLINK("https://raw.githubusercontent.com/marcosmapl/dataset_imigrantes/main/noticias_filtered/g1/venezuelanos/2013/07_ago/txt/g1_8f11dca8-2309-11ed-b24f-6dbe51e79fca_2452.txt", "TXT")</f>
        <v/>
      </c>
    </row>
    <row r="3140">
      <c r="A3140" s="1" t="n">
        <v>3138</v>
      </c>
      <c r="B3140" t="n">
        <v>2013</v>
      </c>
      <c r="C3140" s="2" t="n">
        <v>41509.75</v>
      </c>
      <c r="D3140" t="inlineStr">
        <is>
          <t>G1</t>
        </is>
      </c>
      <c r="E3140" t="inlineStr">
        <is>
          <t>HAITIANOS</t>
        </is>
      </c>
      <c r="F3140" t="inlineStr"/>
      <c r="G3140" t="inlineStr"/>
      <c r="H3140" t="inlineStr">
        <is>
          <t>ONG LEVA CASO DE IMIGRANTES HAITIANOS NO ACRE À OEA</t>
        </is>
      </c>
      <c r="I3140" t="inlineStr"/>
      <c r="J3140">
        <f>HYPERLINK("http://g1.globo.com/brasil/noticia/2013/08/ong-leva-caso-de-imigrantes-haitianos-no-acre-a-oea.html", "URL")</f>
        <v/>
      </c>
      <c r="K3140">
        <f>HYPERLINK("https://raw.githubusercontent.com/marcosmapl/dataset_imigrantes/main/noticias_filtered/g1/haitianos/2013/07_ago/html/g1_5e911eb2-22f1-11ed-b24f-6dbe51e79fca_1747.html", "HTML")</f>
        <v/>
      </c>
      <c r="L3140">
        <f>HYPERLINK("https://raw.githubusercontent.com/marcosmapl/dataset_imigrantes/main/noticias_filtered/g1/haitianos/2013/07_ago/txt/g1_5e911eb2-22f1-11ed-b24f-6dbe51e79fca_1747.txt", "TXT")</f>
        <v/>
      </c>
    </row>
    <row r="3141">
      <c r="A3141" s="1" t="n">
        <v>3139</v>
      </c>
      <c r="B3141" t="n">
        <v>2013</v>
      </c>
      <c r="C3141" s="2" t="n">
        <v>41506.71875</v>
      </c>
      <c r="D3141" t="inlineStr">
        <is>
          <t>G1</t>
        </is>
      </c>
      <c r="E3141" t="inlineStr">
        <is>
          <t>VENEZUELANOS</t>
        </is>
      </c>
      <c r="F3141" t="inlineStr"/>
      <c r="G3141" t="inlineStr">
        <is>
          <t>CE PRESSE</t>
        </is>
      </c>
      <c r="H3141" t="inlineStr">
        <is>
          <t>SONHO DO BUMBUM AVANTAJADO VIRA PESADELO ENTRE AS VENEZUELANAS</t>
        </is>
      </c>
      <c r="I3141" t="inlineStr"/>
      <c r="J3141">
        <f>HYPERLINK("http://g1.globo.com/mundo/noticia/2013/08/sonho-do-bumbum-avantajado-vira-pesadelo-entre-as-venezuelanas.html", "URL")</f>
        <v/>
      </c>
      <c r="K3141">
        <f>HYPERLINK("https://raw.githubusercontent.com/marcosmapl/dataset_imigrantes/main/noticias_filtered/g1/venezuelanos/2013/07_ago/html/g1_3e00944c-231a-11ed-b24f-6dbe51e79fca_3324.html", "HTML")</f>
        <v/>
      </c>
      <c r="L3141">
        <f>HYPERLINK("https://raw.githubusercontent.com/marcosmapl/dataset_imigrantes/main/noticias_filtered/g1/venezuelanos/2013/07_ago/txt/g1_3e00944c-231a-11ed-b24f-6dbe51e79fca_3324.txt", "TXT")</f>
        <v/>
      </c>
    </row>
    <row r="3142">
      <c r="A3142" s="1" t="n">
        <v>3140</v>
      </c>
      <c r="B3142" t="n">
        <v>2013</v>
      </c>
      <c r="C3142" s="2" t="n">
        <v>41499.63125</v>
      </c>
      <c r="D3142" t="inlineStr">
        <is>
          <t>G1</t>
        </is>
      </c>
      <c r="E3142" t="inlineStr">
        <is>
          <t>HAITIANOS</t>
        </is>
      </c>
      <c r="F3142" t="inlineStr"/>
      <c r="G3142" t="inlineStr">
        <is>
          <t xml:space="preserve"> MARCELDO G1 AC</t>
        </is>
      </c>
      <c r="H3142" t="inlineStr">
        <is>
          <t>ONG DENUNCIA CONDIÇÕES 'DESUMANAS' DE HAITIANOS NO ACRE</t>
        </is>
      </c>
      <c r="I3142" t="inlineStr"/>
      <c r="J3142">
        <f>HYPERLINK("http://g1.globo.com/ac/acre/noticia/2013/08/ong-denuncia-condicoes-desumanas-de-haitianos-no-acre.html", "URL")</f>
        <v/>
      </c>
      <c r="K3142">
        <f>HYPERLINK("https://raw.githubusercontent.com/marcosmapl/dataset_imigrantes/main/noticias_filtered/g1/haitianos/2013/07_ago/html/g1_0eb853b2-22f4-11ed-b24f-6dbe51e79fca_1871.html", "HTML")</f>
        <v/>
      </c>
      <c r="L3142">
        <f>HYPERLINK("https://raw.githubusercontent.com/marcosmapl/dataset_imigrantes/main/noticias_filtered/g1/haitianos/2013/07_ago/txt/g1_0eb853b2-22f4-11ed-b24f-6dbe51e79fca_1871.txt", "TXT")</f>
        <v/>
      </c>
    </row>
    <row r="3143">
      <c r="A3143" s="1" t="n">
        <v>3141</v>
      </c>
      <c r="B3143" t="n">
        <v>2013</v>
      </c>
      <c r="C3143" s="2" t="n">
        <v>41498.40972222222</v>
      </c>
      <c r="D3143" t="inlineStr">
        <is>
          <t>G1</t>
        </is>
      </c>
      <c r="E3143" t="inlineStr">
        <is>
          <t>VENEZUELANOS</t>
        </is>
      </c>
      <c r="F3143" t="inlineStr"/>
      <c r="G3143" t="inlineStr">
        <is>
          <t>ERS</t>
        </is>
      </c>
      <c r="H3143" t="inlineStr">
        <is>
          <t>BOMBEIROS APAGAM INCÊNDIO EM REFINARIA VENEZUELANA</t>
        </is>
      </c>
      <c r="I3143" t="inlineStr"/>
      <c r="J3143">
        <f>HYPERLINK("http://g1.globo.com/mundo/noticia/2013/08/bombeiros-apagam-incendio-em-refinaria-venezuelana-3.html", "URL")</f>
        <v/>
      </c>
      <c r="K3143">
        <f>HYPERLINK("https://raw.githubusercontent.com/marcosmapl/dataset_imigrantes/main/noticias_filtered/g1/venezuelanos/2013/07_ago/html/g1_def107d6-2317-11ed-b24f-6dbe51e79fca_3231.html", "HTML")</f>
        <v/>
      </c>
      <c r="L3143">
        <f>HYPERLINK("https://raw.githubusercontent.com/marcosmapl/dataset_imigrantes/main/noticias_filtered/g1/venezuelanos/2013/07_ago/txt/g1_def107d6-2317-11ed-b24f-6dbe51e79fca_3231.txt", "TXT")</f>
        <v/>
      </c>
    </row>
    <row r="3144">
      <c r="A3144" s="1" t="n">
        <v>3142</v>
      </c>
      <c r="B3144" t="n">
        <v>2013</v>
      </c>
      <c r="C3144" s="2" t="n">
        <v>41498.40972222222</v>
      </c>
      <c r="D3144" t="inlineStr">
        <is>
          <t>G1</t>
        </is>
      </c>
      <c r="E3144" t="inlineStr">
        <is>
          <t>VENEZUELANOS</t>
        </is>
      </c>
      <c r="F3144" t="inlineStr"/>
      <c r="G3144" t="inlineStr">
        <is>
          <t>ERS</t>
        </is>
      </c>
      <c r="H3144" t="inlineStr">
        <is>
          <t>BOMBEIROS APAGAM INCÊNDIO EM REFINARIA VENEZUELANA</t>
        </is>
      </c>
      <c r="I3144" t="inlineStr"/>
      <c r="J3144">
        <f>HYPERLINK("http://g1.globo.com/mundo/noticia/2013/08/bombeiros-apagam-incendio-em-refinaria-venezuelana-4.html", "URL")</f>
        <v/>
      </c>
      <c r="K3144">
        <f>HYPERLINK("https://raw.githubusercontent.com/marcosmapl/dataset_imigrantes/main/noticias_filtered/g1/venezuelanos/2013/07_ago/html/g1_36f16cd4-2320-11ed-b24f-6dbe51e79fca_3670.html", "HTML")</f>
        <v/>
      </c>
      <c r="L3144">
        <f>HYPERLINK("https://raw.githubusercontent.com/marcosmapl/dataset_imigrantes/main/noticias_filtered/g1/venezuelanos/2013/07_ago/txt/g1_36f16cd4-2320-11ed-b24f-6dbe51e79fca_3670.txt", "TXT")</f>
        <v/>
      </c>
    </row>
    <row r="3145">
      <c r="A3145" s="1" t="n">
        <v>3143</v>
      </c>
      <c r="B3145" t="n">
        <v>2013</v>
      </c>
      <c r="C3145" s="2" t="n">
        <v>41498.3125</v>
      </c>
      <c r="D3145" t="inlineStr">
        <is>
          <t>G1</t>
        </is>
      </c>
      <c r="E3145" t="inlineStr">
        <is>
          <t>VENEZUELANOS</t>
        </is>
      </c>
      <c r="F3145" t="inlineStr"/>
      <c r="G3145" t="inlineStr">
        <is>
          <t>ERS</t>
        </is>
      </c>
      <c r="H3145" t="inlineStr">
        <is>
          <t>BOMBEIROS APAGAM INCÊNDIO EM REFINARIA VENEZUELANA</t>
        </is>
      </c>
      <c r="I3145" t="inlineStr"/>
      <c r="J3145">
        <f>HYPERLINK("http://g1.globo.com/mundo/noticia/2013/08/bombeiros-apagam-incendio-em-refinaria-venezuelana-1.html", "URL")</f>
        <v/>
      </c>
      <c r="K3145">
        <f>HYPERLINK("https://raw.githubusercontent.com/marcosmapl/dataset_imigrantes/main/noticias_filtered/g1/venezuelanos/2013/07_ago/html/g1_1ec956d8-232c-11ed-b24f-6dbe51e79fca_4286.html", "HTML")</f>
        <v/>
      </c>
      <c r="L3145">
        <f>HYPERLINK("https://raw.githubusercontent.com/marcosmapl/dataset_imigrantes/main/noticias_filtered/g1/venezuelanos/2013/07_ago/txt/g1_1ec956d8-232c-11ed-b24f-6dbe51e79fca_4286.txt", "TXT")</f>
        <v/>
      </c>
    </row>
    <row r="3146">
      <c r="A3146" s="1" t="n">
        <v>3144</v>
      </c>
      <c r="B3146" t="n">
        <v>2013</v>
      </c>
      <c r="C3146" s="2" t="n">
        <v>41498.3125</v>
      </c>
      <c r="D3146" t="inlineStr">
        <is>
          <t>G1</t>
        </is>
      </c>
      <c r="E3146" t="inlineStr">
        <is>
          <t>VENEZUELANOS</t>
        </is>
      </c>
      <c r="F3146" t="inlineStr"/>
      <c r="G3146" t="inlineStr">
        <is>
          <t>EUTERS</t>
        </is>
      </c>
      <c r="H3146" t="inlineStr">
        <is>
          <t>BOMBEIROS APAGAM INCÊNDIO EM REFINARIA VENEZUELANA</t>
        </is>
      </c>
      <c r="I3146" t="inlineStr"/>
      <c r="J3146">
        <f>HYPERLINK("http://g1.globo.com/mundo/noticia/2013/08/bombeiros-apagam-incendio-em-refinaria-venezuelana.html", "URL")</f>
        <v/>
      </c>
      <c r="K3146">
        <f>HYPERLINK("https://raw.githubusercontent.com/marcosmapl/dataset_imigrantes/main/noticias_filtered/g1/venezuelanos/2013/07_ago/html/g1_c3dd4dde-230c-11ed-b24f-6dbe51e79fca_2645.html", "HTML")</f>
        <v/>
      </c>
      <c r="L3146">
        <f>HYPERLINK("https://raw.githubusercontent.com/marcosmapl/dataset_imigrantes/main/noticias_filtered/g1/venezuelanos/2013/07_ago/txt/g1_c3dd4dde-230c-11ed-b24f-6dbe51e79fca_2645.txt", "TXT")</f>
        <v/>
      </c>
    </row>
    <row r="3147">
      <c r="A3147" s="1" t="n">
        <v>3145</v>
      </c>
      <c r="B3147" t="n">
        <v>2013</v>
      </c>
      <c r="C3147" s="2" t="n">
        <v>41498.3125</v>
      </c>
      <c r="D3147" t="inlineStr">
        <is>
          <t>G1</t>
        </is>
      </c>
      <c r="E3147" t="inlineStr">
        <is>
          <t>VENEZUELANOS</t>
        </is>
      </c>
      <c r="F3147" t="inlineStr"/>
      <c r="G3147" t="inlineStr">
        <is>
          <t>EUTERS</t>
        </is>
      </c>
      <c r="H3147" t="inlineStr">
        <is>
          <t>BOMBEIROS APAGAM INCÊNDIO EM REFINARIA VENEZUELANA</t>
        </is>
      </c>
      <c r="I3147" t="inlineStr"/>
      <c r="J3147">
        <f>HYPERLINK("http://g1.globo.com/economia/noticia/2013/08/bombeiros-apagam-incendio-em-refinaria-venezuelana-2.html", "URL")</f>
        <v/>
      </c>
      <c r="K3147">
        <f>HYPERLINK("https://raw.githubusercontent.com/marcosmapl/dataset_imigrantes/main/noticias_filtered/g1/venezuelanos/2013/07_ago/html/g1_95c3e7e8-2328-11ed-b24f-6dbe51e79fca_4087.html", "HTML")</f>
        <v/>
      </c>
      <c r="L3147">
        <f>HYPERLINK("https://raw.githubusercontent.com/marcosmapl/dataset_imigrantes/main/noticias_filtered/g1/venezuelanos/2013/07_ago/txt/g1_95c3e7e8-2328-11ed-b24f-6dbe51e79fca_4087.txt", "TXT")</f>
        <v/>
      </c>
    </row>
    <row r="3148">
      <c r="A3148" s="1" t="n">
        <v>3146</v>
      </c>
      <c r="B3148" t="n">
        <v>2013</v>
      </c>
      <c r="C3148" s="2" t="n">
        <v>41497.88194444445</v>
      </c>
      <c r="D3148" t="inlineStr">
        <is>
          <t>G1</t>
        </is>
      </c>
      <c r="E3148" t="inlineStr">
        <is>
          <t>VENEZUELANOS</t>
        </is>
      </c>
      <c r="F3148" t="inlineStr"/>
      <c r="G3148" t="inlineStr">
        <is>
          <t>CE PRESSE</t>
        </is>
      </c>
      <c r="H3148" t="inlineStr">
        <is>
          <t>RAIO PROVOCA INCÊNDIO EM REFINARIA VENEZUELANA, SEM VÍTIMAS</t>
        </is>
      </c>
      <c r="I3148" t="inlineStr"/>
      <c r="J3148">
        <f>HYPERLINK("http://g1.globo.com/mundo/noticia/2013/08/raio-provoca-incendio-em-refinaria-venezuelana-sem-vitimas.html", "URL")</f>
        <v/>
      </c>
      <c r="K3148">
        <f>HYPERLINK("https://raw.githubusercontent.com/marcosmapl/dataset_imigrantes/main/noticias_filtered/g1/venezuelanos/2013/07_ago/html/g1_0f534884-231e-11ed-b24f-6dbe51e79fca_3537.html", "HTML")</f>
        <v/>
      </c>
      <c r="L3148">
        <f>HYPERLINK("https://raw.githubusercontent.com/marcosmapl/dataset_imigrantes/main/noticias_filtered/g1/venezuelanos/2013/07_ago/txt/g1_0f534884-231e-11ed-b24f-6dbe51e79fca_3537.txt", "TXT")</f>
        <v/>
      </c>
    </row>
    <row r="3149">
      <c r="A3149" s="1" t="n">
        <v>3147</v>
      </c>
      <c r="B3149" t="n">
        <v>2013</v>
      </c>
      <c r="C3149" s="2" t="n">
        <v>41497.47916666666</v>
      </c>
      <c r="D3149" t="inlineStr">
        <is>
          <t>G1</t>
        </is>
      </c>
      <c r="E3149" t="inlineStr">
        <is>
          <t>VENEZUELANOS</t>
        </is>
      </c>
      <c r="F3149" t="inlineStr"/>
      <c r="G3149" t="inlineStr">
        <is>
          <t>RANCE PRESSE</t>
        </is>
      </c>
      <c r="H3149" t="inlineStr">
        <is>
          <t>ASSALTANTES CORTAM E ROUBAM CABELO DE MULHERES VENEZUELANAS</t>
        </is>
      </c>
      <c r="I3149" t="inlineStr"/>
      <c r="J3149">
        <f>HYPERLINK("http://g1.globo.com/mundo/noticia/2013/08/assaltantes-cortam-e-roubam-cabelo-de-mulheres-venezuelanas.html", "URL")</f>
        <v/>
      </c>
      <c r="K3149">
        <f>HYPERLINK("https://raw.githubusercontent.com/marcosmapl/dataset_imigrantes/main/noticias_filtered/g1/venezuelanos/2013/07_ago/html/g1_3f380a60-2316-11ed-b24f-6dbe51e79fca_3136.html", "HTML")</f>
        <v/>
      </c>
      <c r="L3149">
        <f>HYPERLINK("https://raw.githubusercontent.com/marcosmapl/dataset_imigrantes/main/noticias_filtered/g1/venezuelanos/2013/07_ago/txt/g1_3f380a60-2316-11ed-b24f-6dbe51e79fca_3136.txt", "TXT")</f>
        <v/>
      </c>
    </row>
    <row r="3150">
      <c r="A3150" s="1" t="n">
        <v>3148</v>
      </c>
      <c r="B3150" t="n">
        <v>2013</v>
      </c>
      <c r="C3150" s="2" t="n">
        <v>41493.74305555555</v>
      </c>
      <c r="D3150" t="inlineStr">
        <is>
          <t>G1</t>
        </is>
      </c>
      <c r="E3150" t="inlineStr">
        <is>
          <t>VENEZUELANOS</t>
        </is>
      </c>
      <c r="F3150" t="inlineStr"/>
      <c r="G3150" t="inlineStr">
        <is>
          <t>CE PRESSE</t>
        </is>
      </c>
      <c r="H3150" t="inlineStr">
        <is>
          <t>JUSTIÇA VENEZUELANA REJEITA IMPUGNAÇÃO DE ELEIÇÕES FEITA POR CAPRILES</t>
        </is>
      </c>
      <c r="I3150" t="inlineStr"/>
      <c r="J3150">
        <f>HYPERLINK("http://g1.globo.com/mundo/noticia/2013/08/justica-venezuelana-rejeita-impugnacao-de-eleicoes-feita-por-capriles.html", "URL")</f>
        <v/>
      </c>
      <c r="K3150">
        <f>HYPERLINK("https://raw.githubusercontent.com/marcosmapl/dataset_imigrantes/main/noticias_filtered/g1/venezuelanos/2013/07_ago/html/g1_c3894ea6-231a-11ed-b24f-6dbe51e79fca_3352.html", "HTML")</f>
        <v/>
      </c>
      <c r="L3150">
        <f>HYPERLINK("https://raw.githubusercontent.com/marcosmapl/dataset_imigrantes/main/noticias_filtered/g1/venezuelanos/2013/07_ago/txt/g1_c3894ea6-231a-11ed-b24f-6dbe51e79fca_3352.txt", "TXT")</f>
        <v/>
      </c>
    </row>
    <row r="3151">
      <c r="A3151" s="1" t="n">
        <v>3149</v>
      </c>
      <c r="B3151" t="n">
        <v>2013</v>
      </c>
      <c r="C3151" s="2" t="n">
        <v>41493.65625</v>
      </c>
      <c r="D3151" t="inlineStr">
        <is>
          <t>G1</t>
        </is>
      </c>
      <c r="E3151" t="inlineStr">
        <is>
          <t>VENEZUELANOS</t>
        </is>
      </c>
      <c r="F3151" t="inlineStr"/>
      <c r="G3151" t="inlineStr">
        <is>
          <t>CE PRESSE</t>
        </is>
      </c>
      <c r="H3151" t="inlineStr">
        <is>
          <t>JUSTIÇA VENEZUELANA REJEITA IMPUGNAÇÃO DAS ELEIÇÕES FEITA POR CAPRILES</t>
        </is>
      </c>
      <c r="I3151" t="inlineStr"/>
      <c r="J3151">
        <f>HYPERLINK("http://g1.globo.com/mundo/noticia/2013/08/justica-venezuelana-rejeita-impugnacao-das-eleicoes-feita-por-capriles.html", "URL")</f>
        <v/>
      </c>
      <c r="K3151">
        <f>HYPERLINK("https://raw.githubusercontent.com/marcosmapl/dataset_imigrantes/main/noticias_filtered/g1/venezuelanos/2013/07_ago/html/g1_7ccf0632-230f-11ed-b24f-6dbe51e79fca_2798.html", "HTML")</f>
        <v/>
      </c>
      <c r="L3151">
        <f>HYPERLINK("https://raw.githubusercontent.com/marcosmapl/dataset_imigrantes/main/noticias_filtered/g1/venezuelanos/2013/07_ago/txt/g1_7ccf0632-230f-11ed-b24f-6dbe51e79fca_2798.txt", "TXT")</f>
        <v/>
      </c>
    </row>
    <row r="3152">
      <c r="A3152" s="1" t="n">
        <v>3150</v>
      </c>
      <c r="B3152" t="n">
        <v>2013</v>
      </c>
      <c r="C3152" s="2" t="n">
        <v>41492.50347222222</v>
      </c>
      <c r="D3152" t="inlineStr">
        <is>
          <t>G1</t>
        </is>
      </c>
      <c r="E3152" t="inlineStr">
        <is>
          <t>VENEZUELANOS</t>
        </is>
      </c>
      <c r="F3152" t="inlineStr"/>
      <c r="G3152" t="inlineStr">
        <is>
          <t>FE</t>
        </is>
      </c>
      <c r="H3152" t="inlineStr">
        <is>
          <t>ACIDENTE EM ESTRADA VENEZUELANA MATA NOVE E DEIXA 35 FERIDOS</t>
        </is>
      </c>
      <c r="I3152" t="inlineStr"/>
      <c r="J3152">
        <f>HYPERLINK("http://g1.globo.com/mundo/noticia/2013/08/acidente-em-estrada-venezuelana-mata-nove-e-deixa-35-feridos.html", "URL")</f>
        <v/>
      </c>
      <c r="K3152">
        <f>HYPERLINK("https://raw.githubusercontent.com/marcosmapl/dataset_imigrantes/main/noticias_filtered/g1/venezuelanos/2013/07_ago/html/g1_f2073ae0-2306-11ed-b24f-6dbe51e79fca_2287.html", "HTML")</f>
        <v/>
      </c>
      <c r="L3152">
        <f>HYPERLINK("https://raw.githubusercontent.com/marcosmapl/dataset_imigrantes/main/noticias_filtered/g1/venezuelanos/2013/07_ago/txt/g1_f2073ae0-2306-11ed-b24f-6dbe51e79fca_2287.txt", "TXT")</f>
        <v/>
      </c>
    </row>
    <row r="3153">
      <c r="A3153" s="1" t="n">
        <v>3151</v>
      </c>
      <c r="B3153" t="n">
        <v>2013</v>
      </c>
      <c r="C3153" s="2" t="n">
        <v>41489.5362962963</v>
      </c>
      <c r="D3153" t="inlineStr">
        <is>
          <t>A CRITICA</t>
        </is>
      </c>
      <c r="E3153" t="inlineStr">
        <is>
          <t>VENEZUELANOS</t>
        </is>
      </c>
      <c r="F3153" t="inlineStr">
        <is>
          <t>MANAUS</t>
        </is>
      </c>
      <c r="G3153" t="inlineStr">
        <is>
          <t>MARIANA LIMA</t>
        </is>
      </c>
      <c r="H3153" t="inlineStr">
        <is>
          <t>CRIANÇAS SÃO ENCONTRADAS DURANTE OPERAÇÃO 'CENTRO SEGURO'</t>
        </is>
      </c>
      <c r="I3153" t="inlineStr">
        <is>
          <t>UM TOTAL DE 48 PESSOAS FORAM RETIRADAS DOS ESTABELECIMENTOS FECHADOS. OS MENORES DE IDADE FORAM PARA ABRIGOS DO GOVERNO</t>
        </is>
      </c>
      <c r="J3153">
        <f>HYPERLINK("https://www.acritica.com/manaus/criancas-s-o-encontradas-durante-operac-o-centro-seguro-1.238670", "URL")</f>
        <v/>
      </c>
      <c r="K3153">
        <f>HYPERLINK("https://raw.githubusercontent.com/marcosmapl/dataset_imigrantes/main/noticias_filtered/a_critica/venezuelanos/2013/07_ago/html/1.238670_862.html", "HTML")</f>
        <v/>
      </c>
      <c r="L3153">
        <f>HYPERLINK("https://raw.githubusercontent.com/marcosmapl/dataset_imigrantes/main/noticias_filtered/a_critica/venezuelanos/2013/07_ago/txt/1.238670_862.txt", "TXT")</f>
        <v/>
      </c>
    </row>
    <row r="3154">
      <c r="A3154" s="1" t="n">
        <v>3152</v>
      </c>
      <c r="B3154" t="n">
        <v>2013</v>
      </c>
      <c r="C3154" s="2" t="n">
        <v>41488.59946759259</v>
      </c>
      <c r="D3154" t="inlineStr">
        <is>
          <t>A CRITICA</t>
        </is>
      </c>
      <c r="E3154" t="inlineStr">
        <is>
          <t>VENEZUELANOS</t>
        </is>
      </c>
      <c r="F3154" t="inlineStr">
        <is>
          <t>MANAUS</t>
        </is>
      </c>
      <c r="G3154" t="inlineStr">
        <is>
          <t>ACRÍTICA.COM</t>
        </is>
      </c>
      <c r="H3154" t="inlineStr">
        <is>
          <t>OPERAÇÃO ‘CENTRO SEGURO’ É REALIZADA NESTA SEXTA-FEIRA (2) EM MANAUS</t>
        </is>
      </c>
      <c r="I3154" t="inlineStr">
        <is>
          <t>DE ACORDO COM A DELEGACIA DA SECCIONAL SUL, DURANTE AS INVESTIGAÇÕES ATRAVÉS DAS CÂMERAS DE MONITORAMENTO DO CIOPS, FOI POSSÍVEL VERIFICAR QUE MUITOS HOTÉIS DO CENTRO FUNCIONAM COMO PONTO DE PREPARO E VENDA DE DROGAS E LOCAL DE PROSTITUIÇÃO</t>
        </is>
      </c>
      <c r="J3154">
        <f>HYPERLINK("https://www.acritica.com/manaus/operac-o-centro-seguro-e-realizada-nesta-sexta-feira-2-em-manaus-1.238686", "URL")</f>
        <v/>
      </c>
      <c r="K3154">
        <f>HYPERLINK("https://raw.githubusercontent.com/marcosmapl/dataset_imigrantes/main/noticias_filtered/a_critica/venezuelanos/2013/07_ago/html/1.238686_721.html", "HTML")</f>
        <v/>
      </c>
      <c r="L3154">
        <f>HYPERLINK("https://raw.githubusercontent.com/marcosmapl/dataset_imigrantes/main/noticias_filtered/a_critica/venezuelanos/2013/07_ago/txt/1.238686_721.txt", "TXT")</f>
        <v/>
      </c>
    </row>
    <row r="3155">
      <c r="A3155" s="1" t="n">
        <v>3153</v>
      </c>
      <c r="B3155" t="n">
        <v>2013</v>
      </c>
      <c r="C3155" s="2" t="n">
        <v>41471.525</v>
      </c>
      <c r="D3155" t="inlineStr">
        <is>
          <t>G1</t>
        </is>
      </c>
      <c r="E3155" t="inlineStr">
        <is>
          <t>HAITIANOS</t>
        </is>
      </c>
      <c r="F3155" t="inlineStr"/>
      <c r="G3155" t="inlineStr">
        <is>
          <t xml:space="preserve"> MARCELDO G1 AC</t>
        </is>
      </c>
      <c r="H3155" t="inlineStr">
        <is>
          <t>ACRE CONTINUA RECEBENDO MÉDIA DE 40 HAITIANOS POR DIA</t>
        </is>
      </c>
      <c r="I3155" t="inlineStr"/>
      <c r="J3155">
        <f>HYPERLINK("http://g1.globo.com/ac/acre/noticia/2013/07/acre-continua-recebendo-media-de-40-haitianos-por-dia.html", "URL")</f>
        <v/>
      </c>
      <c r="K3155">
        <f>HYPERLINK("https://raw.githubusercontent.com/marcosmapl/dataset_imigrantes/main/noticias_filtered/g1/haitianos/2013/06_jul/html/g1_f42abc42-22f3-11ed-b24f-6dbe51e79fca_1866.html", "HTML")</f>
        <v/>
      </c>
      <c r="L3155">
        <f>HYPERLINK("https://raw.githubusercontent.com/marcosmapl/dataset_imigrantes/main/noticias_filtered/g1/haitianos/2013/06_jul/txt/g1_f42abc42-22f3-11ed-b24f-6dbe51e79fca_1866.txt", "TXT")</f>
        <v/>
      </c>
    </row>
    <row r="3156">
      <c r="A3156" s="1" t="n">
        <v>3154</v>
      </c>
      <c r="B3156" t="n">
        <v>2013</v>
      </c>
      <c r="C3156" s="2" t="n">
        <v>41470.80625</v>
      </c>
      <c r="D3156" t="inlineStr">
        <is>
          <t>G1</t>
        </is>
      </c>
      <c r="E3156" t="inlineStr">
        <is>
          <t>HAITIANOS</t>
        </is>
      </c>
      <c r="F3156" t="inlineStr"/>
      <c r="G3156" t="inlineStr">
        <is>
          <t>1 CAMPINAS E REGIÃO</t>
        </is>
      </c>
      <c r="H3156" t="inlineStr">
        <is>
          <t>À ESPERA DA JMJ, PEREGRINOS CHILENOS E HAITIANOS FAZEM TOUR POR CAMPINAS</t>
        </is>
      </c>
      <c r="I3156" t="inlineStr"/>
      <c r="J3156">
        <f>HYPERLINK("http://g1.globo.com/sp/campinas-regiao/noticia/2013/07/espera-da-jmj-peregrinos-chilenos-e-haitianos-fazem-tour-por-campinas.html", "URL")</f>
        <v/>
      </c>
      <c r="K3156">
        <f>HYPERLINK("https://raw.githubusercontent.com/marcosmapl/dataset_imigrantes/main/noticias_filtered/g1/haitianos/2013/06_jul/html/g1_7c8d52ec-22f5-11ed-b24f-6dbe51e79fca_1953.html", "HTML")</f>
        <v/>
      </c>
      <c r="L3156">
        <f>HYPERLINK("https://raw.githubusercontent.com/marcosmapl/dataset_imigrantes/main/noticias_filtered/g1/haitianos/2013/06_jul/txt/g1_7c8d52ec-22f5-11ed-b24f-6dbe51e79fca_1953.txt", "TXT")</f>
        <v/>
      </c>
    </row>
    <row r="3157">
      <c r="A3157" s="1" t="n">
        <v>3155</v>
      </c>
      <c r="B3157" t="n">
        <v>2013</v>
      </c>
      <c r="C3157" s="2" t="n">
        <v>41469.80208333334</v>
      </c>
      <c r="D3157" t="inlineStr">
        <is>
          <t>G1</t>
        </is>
      </c>
      <c r="E3157" t="inlineStr">
        <is>
          <t>VENEZUELANOS</t>
        </is>
      </c>
      <c r="F3157" t="inlineStr"/>
      <c r="G3157" t="inlineStr">
        <is>
          <t>CIA EFE</t>
        </is>
      </c>
      <c r="H3157" t="inlineStr">
        <is>
          <t>MADURO GARANTE QUE 2014 SERÁ 'EXTRAORDINÁRIO' PARA ECONOMIA VENEZUELANA</t>
        </is>
      </c>
      <c r="I3157" t="inlineStr"/>
      <c r="J3157">
        <f>HYPERLINK("http://g1.globo.com/mundo/noticia/2013/07/maduro-garante-que-2014-sera-extraordinario-para-economia-venezuelana.html", "URL")</f>
        <v/>
      </c>
      <c r="K3157">
        <f>HYPERLINK("https://raw.githubusercontent.com/marcosmapl/dataset_imigrantes/main/noticias_filtered/g1/venezuelanos/2013/06_jul/html/g1_234f4290-2308-11ed-b24f-6dbe51e79fca_2367.html", "HTML")</f>
        <v/>
      </c>
      <c r="L3157">
        <f>HYPERLINK("https://raw.githubusercontent.com/marcosmapl/dataset_imigrantes/main/noticias_filtered/g1/venezuelanos/2013/06_jul/txt/g1_234f4290-2308-11ed-b24f-6dbe51e79fca_2367.txt", "TXT")</f>
        <v/>
      </c>
    </row>
    <row r="3158">
      <c r="A3158" s="1" t="n">
        <v>3156</v>
      </c>
      <c r="B3158" t="n">
        <v>2013</v>
      </c>
      <c r="C3158" s="2" t="n">
        <v>41465.88125</v>
      </c>
      <c r="D3158" t="inlineStr">
        <is>
          <t>G1</t>
        </is>
      </c>
      <c r="E3158" t="inlineStr">
        <is>
          <t>VENEZUELANOS</t>
        </is>
      </c>
      <c r="F3158" t="inlineStr"/>
      <c r="G3158" t="inlineStr">
        <is>
          <t>CE PRESSE</t>
        </is>
      </c>
      <c r="H3158" t="inlineStr">
        <is>
          <t>MINISTRA VENEZUELANA DEFENDE BOICOTE AO FACEBOOK</t>
        </is>
      </c>
      <c r="I3158" t="inlineStr"/>
      <c r="J3158">
        <f>HYPERLINK("http://g1.globo.com/mundo/noticia/2013/07/ministra-venezuelana-defende-boicote-ao-facebook.html", "URL")</f>
        <v/>
      </c>
      <c r="K3158">
        <f>HYPERLINK("https://raw.githubusercontent.com/marcosmapl/dataset_imigrantes/main/noticias_filtered/g1/venezuelanos/2013/06_jul/html/g1_d6e55736-230d-11ed-b24f-6dbe51e79fca_2708.html", "HTML")</f>
        <v/>
      </c>
      <c r="L3158">
        <f>HYPERLINK("https://raw.githubusercontent.com/marcosmapl/dataset_imigrantes/main/noticias_filtered/g1/venezuelanos/2013/06_jul/txt/g1_d6e55736-230d-11ed-b24f-6dbe51e79fca_2708.txt", "TXT")</f>
        <v/>
      </c>
    </row>
    <row r="3159">
      <c r="A3159" s="1" t="n">
        <v>3157</v>
      </c>
      <c r="B3159" t="n">
        <v>2013</v>
      </c>
      <c r="C3159" s="2" t="n">
        <v>41464.60644675926</v>
      </c>
      <c r="D3159" t="inlineStr">
        <is>
          <t>A CRITICA</t>
        </is>
      </c>
      <c r="E3159" t="inlineStr">
        <is>
          <t>HAITIANOS</t>
        </is>
      </c>
      <c r="F3159" t="inlineStr">
        <is>
          <t>MANAUS</t>
        </is>
      </c>
      <c r="G3159" t="inlineStr">
        <is>
          <t>ACRÍTICA.COM</t>
        </is>
      </c>
      <c r="H3159" t="inlineStr">
        <is>
          <t>HAITIANO É PRESO POR ALICIAR CRIANÇA EM MANAUS</t>
        </is>
      </c>
      <c r="I3159" t="inlineStr">
        <is>
          <t>DE ACORDO COM A POLÍCIA, O ESTRANGEIRO QUE MORA NO MESMO CONJUNTO DE QUITINETES ONDE A FAMÍLIA DA VÍTIMA RESIDE CHAMOU A CRIANÇA PARA MOSTRAR UMAS IMAGENS NO CELULAR E APROVEITOU PARA PASSAR A MÃO EM SUAS PARTES ÍNTIMAS</t>
        </is>
      </c>
      <c r="J3159">
        <f>HYPERLINK("https://www.acritica.com/manaus/haitiano-e-preso-por-aliciar-crianca-em-manaus-1.240289", "URL")</f>
        <v/>
      </c>
      <c r="K3159">
        <f>HYPERLINK("https://raw.githubusercontent.com/marcosmapl/dataset_imigrantes/main/noticias_filtered/a_critica/haitianos/2013/06_jul/html/1.240289_763.html", "HTML")</f>
        <v/>
      </c>
      <c r="L3159">
        <f>HYPERLINK("https://raw.githubusercontent.com/marcosmapl/dataset_imigrantes/main/noticias_filtered/a_critica/haitianos/2013/06_jul/txt/1.240289_763.txt", "TXT")</f>
        <v/>
      </c>
    </row>
    <row r="3160">
      <c r="A3160" s="1" t="n">
        <v>3158</v>
      </c>
      <c r="B3160" t="n">
        <v>2013</v>
      </c>
      <c r="C3160" s="2" t="n">
        <v>41464.50208333333</v>
      </c>
      <c r="D3160" t="inlineStr">
        <is>
          <t>G1</t>
        </is>
      </c>
      <c r="E3160" t="inlineStr">
        <is>
          <t>HAITIANOS</t>
        </is>
      </c>
      <c r="F3160" t="inlineStr"/>
      <c r="G3160" t="inlineStr">
        <is>
          <t>1 AM</t>
        </is>
      </c>
      <c r="H3160" t="inlineStr">
        <is>
          <t>HAITIANO É PRESO SUSPEITO DE VIOLENTAR MENINA DE CINCO ANOS, EM MANAUS</t>
        </is>
      </c>
      <c r="I3160" t="inlineStr"/>
      <c r="J3160">
        <f>HYPERLINK("http://g1.globo.com/am/amazonas/noticia/2013/07/haitiano-e-preso-suspeito-de-violentar-menina-de-cinco-anos-em-manaus.html", "URL")</f>
        <v/>
      </c>
      <c r="K3160">
        <f>HYPERLINK("https://raw.githubusercontent.com/marcosmapl/dataset_imigrantes/main/noticias_filtered/g1/haitianos/2013/06_jul/html/g1_aa8bfd32-231e-11ed-b24f-6dbe51e79fca_3576.html", "HTML")</f>
        <v/>
      </c>
      <c r="L3160">
        <f>HYPERLINK("https://raw.githubusercontent.com/marcosmapl/dataset_imigrantes/main/noticias_filtered/g1/haitianos/2013/06_jul/txt/g1_aa8bfd32-231e-11ed-b24f-6dbe51e79fca_3576.txt", "TXT")</f>
        <v/>
      </c>
    </row>
    <row r="3161">
      <c r="A3161" s="1" t="n">
        <v>3159</v>
      </c>
      <c r="B3161" t="n">
        <v>2013</v>
      </c>
      <c r="C3161" s="2" t="n">
        <v>41458.60416666666</v>
      </c>
      <c r="D3161" t="inlineStr">
        <is>
          <t>G1</t>
        </is>
      </c>
      <c r="E3161" t="inlineStr">
        <is>
          <t>HAITIANOS</t>
        </is>
      </c>
      <c r="F3161" t="inlineStr"/>
      <c r="G3161" t="inlineStr"/>
      <c r="H3161" t="inlineStr">
        <is>
          <t>HAITIANOS ADEPTOS DO VODU BUSCAM NO CANDOMBLÉ ALTERNATIVA A IGREJAS</t>
        </is>
      </c>
      <c r="I3161" t="inlineStr"/>
      <c r="J3161">
        <f>HYPERLINK("http://g1.globo.com/mundo/noticia/2013/07/haitianos-adeptos-do-vodu-buscam-no-candomble-alternativa-a-igrejas.html", "URL")</f>
        <v/>
      </c>
      <c r="K3161">
        <f>HYPERLINK("https://raw.githubusercontent.com/marcosmapl/dataset_imigrantes/main/noticias_filtered/g1/haitianos/2013/06_jul/html/g1_b5ff0a48-22f0-11ed-b24f-6dbe51e79fca_1716.html", "HTML")</f>
        <v/>
      </c>
      <c r="L3161">
        <f>HYPERLINK("https://raw.githubusercontent.com/marcosmapl/dataset_imigrantes/main/noticias_filtered/g1/haitianos/2013/06_jul/txt/g1_b5ff0a48-22f0-11ed-b24f-6dbe51e79fca_1716.txt", "TXT")</f>
        <v/>
      </c>
    </row>
    <row r="3162">
      <c r="A3162" s="1" t="n">
        <v>3160</v>
      </c>
      <c r="B3162" t="n">
        <v>2013</v>
      </c>
      <c r="C3162" s="2" t="n">
        <v>41458.54166666666</v>
      </c>
      <c r="D3162" t="inlineStr">
        <is>
          <t>G1</t>
        </is>
      </c>
      <c r="E3162" t="inlineStr">
        <is>
          <t>HAITIANOS</t>
        </is>
      </c>
      <c r="F3162" t="inlineStr"/>
      <c r="G3162" t="inlineStr"/>
      <c r="H3162" t="inlineStr">
        <is>
          <t>MELODIAS HAITIANAS EMBALAM CULTOS EM PORTO VELHO</t>
        </is>
      </c>
      <c r="I3162" t="inlineStr"/>
      <c r="J3162">
        <f>HYPERLINK("http://g1.globo.com/mundo/noticia/2013/07/melodias-haitianas-embalam-cultos-em-porto-velho.html", "URL")</f>
        <v/>
      </c>
      <c r="K3162">
        <f>HYPERLINK("https://raw.githubusercontent.com/marcosmapl/dataset_imigrantes/main/noticias_filtered/g1/haitianos/2013/06_jul/html/g1_890c19a8-231e-11ed-b24f-6dbe51e79fca_3568.html", "HTML")</f>
        <v/>
      </c>
      <c r="L3162">
        <f>HYPERLINK("https://raw.githubusercontent.com/marcosmapl/dataset_imigrantes/main/noticias_filtered/g1/haitianos/2013/06_jul/txt/g1_890c19a8-231e-11ed-b24f-6dbe51e79fca_3568.txt", "TXT")</f>
        <v/>
      </c>
    </row>
    <row r="3163">
      <c r="A3163" s="1" t="n">
        <v>3161</v>
      </c>
      <c r="B3163" t="n">
        <v>2013</v>
      </c>
      <c r="C3163" s="2" t="n">
        <v>41458.54166666666</v>
      </c>
      <c r="D3163" t="inlineStr">
        <is>
          <t>G1</t>
        </is>
      </c>
      <c r="E3163" t="inlineStr">
        <is>
          <t>HAITIANOS</t>
        </is>
      </c>
      <c r="F3163" t="inlineStr"/>
      <c r="G3163" t="inlineStr"/>
      <c r="H3163" t="inlineStr">
        <is>
          <t>IGREJAS EVANGÉLICAS DISPUTAM IMIGRANTES HAITIANOS EM RONDÔNIA</t>
        </is>
      </c>
      <c r="I3163" t="inlineStr"/>
      <c r="J3163">
        <f>HYPERLINK("http://g1.globo.com/brasil/noticia/2013/07/igrejas-evangelicas-disputam-imigrantes-haitianos-em-rondonia.html", "URL")</f>
        <v/>
      </c>
      <c r="K3163">
        <f>HYPERLINK("https://raw.githubusercontent.com/marcosmapl/dataset_imigrantes/main/noticias_filtered/g1/haitianos/2013/06_jul/html/g1_4df764fe-22fa-11ed-b24f-6dbe51e79fca_2211.html", "HTML")</f>
        <v/>
      </c>
      <c r="L3163">
        <f>HYPERLINK("https://raw.githubusercontent.com/marcosmapl/dataset_imigrantes/main/noticias_filtered/g1/haitianos/2013/06_jul/txt/g1_4df764fe-22fa-11ed-b24f-6dbe51e79fca_2211.txt", "TXT")</f>
        <v/>
      </c>
    </row>
    <row r="3164">
      <c r="A3164" s="1" t="n">
        <v>3162</v>
      </c>
      <c r="B3164" t="n">
        <v>2013</v>
      </c>
      <c r="C3164" s="2" t="n">
        <v>41455.76041666666</v>
      </c>
      <c r="D3164" t="inlineStr">
        <is>
          <t>G1</t>
        </is>
      </c>
      <c r="E3164" t="inlineStr">
        <is>
          <t>VENEZUELANOS</t>
        </is>
      </c>
      <c r="F3164" t="inlineStr"/>
      <c r="G3164" t="inlineStr">
        <is>
          <t>CE PRESSE</t>
        </is>
      </c>
      <c r="H3164" t="inlineStr">
        <is>
          <t>MADURO PEDE 'LEALDADE CHAVISTA' À FORÇA ARMADA VENEZUELANA</t>
        </is>
      </c>
      <c r="I3164" t="inlineStr"/>
      <c r="J3164">
        <f>HYPERLINK("http://g1.globo.com/mundo/noticia/2013/06/maduro-pede-lealdade-chavista-a-forca-armada-venezuelana.html", "URL")</f>
        <v/>
      </c>
      <c r="K3164">
        <f>HYPERLINK("https://raw.githubusercontent.com/marcosmapl/dataset_imigrantes/main/noticias_filtered/g1/venezuelanos/2013/05_jun/html/g1_2a770644-2311-11ed-b24f-6dbe51e79fca_2903.html", "HTML")</f>
        <v/>
      </c>
      <c r="L3164">
        <f>HYPERLINK("https://raw.githubusercontent.com/marcosmapl/dataset_imigrantes/main/noticias_filtered/g1/venezuelanos/2013/05_jun/txt/g1_2a770644-2311-11ed-b24f-6dbe51e79fca_2903.txt", "TXT")</f>
        <v/>
      </c>
    </row>
    <row r="3165">
      <c r="A3165" s="1" t="n">
        <v>3163</v>
      </c>
      <c r="B3165" t="n">
        <v>2013</v>
      </c>
      <c r="C3165" s="2" t="n">
        <v>41447.38263888889</v>
      </c>
      <c r="D3165" t="inlineStr">
        <is>
          <t>G1</t>
        </is>
      </c>
      <c r="E3165" t="inlineStr">
        <is>
          <t>HAITIANOS</t>
        </is>
      </c>
      <c r="F3165" t="inlineStr"/>
      <c r="G3165" t="inlineStr">
        <is>
          <t>1 MT</t>
        </is>
      </c>
      <c r="H3165" t="inlineStr">
        <is>
          <t>MAIS DE 20 HAITIANOS SÃO RESGATADOS EM CONDIÇÕES PRECÁRIAS EM CUIABÁ</t>
        </is>
      </c>
      <c r="I3165" t="inlineStr"/>
      <c r="J3165">
        <f>HYPERLINK("http://g1.globo.com/mato-grosso/noticia/2013/06/mais-de-20-haitianos-sao-resgatados-de-alojamento-precario-em-cuiaba.html", "URL")</f>
        <v/>
      </c>
      <c r="K3165">
        <f>HYPERLINK("https://raw.githubusercontent.com/marcosmapl/dataset_imigrantes/main/noticias_filtered/g1/haitianos/2013/05_jun/html/g1_aa92b1ac-22f3-11ed-b24f-6dbe51e79fca_1852.html", "HTML")</f>
        <v/>
      </c>
      <c r="L3165">
        <f>HYPERLINK("https://raw.githubusercontent.com/marcosmapl/dataset_imigrantes/main/noticias_filtered/g1/haitianos/2013/05_jun/txt/g1_aa92b1ac-22f3-11ed-b24f-6dbe51e79fca_1852.txt", "TXT")</f>
        <v/>
      </c>
    </row>
    <row r="3166">
      <c r="A3166" s="1" t="n">
        <v>3164</v>
      </c>
      <c r="B3166" t="n">
        <v>2013</v>
      </c>
      <c r="C3166" s="2" t="n">
        <v>41436.39930555555</v>
      </c>
      <c r="D3166" t="inlineStr">
        <is>
          <t>G1</t>
        </is>
      </c>
      <c r="E3166" t="inlineStr">
        <is>
          <t>HAITIANOS</t>
        </is>
      </c>
      <c r="F3166" t="inlineStr"/>
      <c r="G3166" t="inlineStr"/>
      <c r="H3166" t="inlineStr">
        <is>
          <t>ANTES DE TREINO NO ENGENHÃO, NO RIO, SELEÇÃO ITALIANA CURTE A PRAIA DA BARRA</t>
        </is>
      </c>
      <c r="I3166" t="inlineStr"/>
      <c r="J3166">
        <f>HYPERLINK("http://g1.globo.com/bom-dia-brasil/noticia/2013/06/antes-de-treino-no-engenhao-no-rio-selecao-italiana-curte-praia-da-barra.html", "URL")</f>
        <v/>
      </c>
      <c r="K3166">
        <f>HYPERLINK("https://raw.githubusercontent.com/marcosmapl/dataset_imigrantes/main/noticias_filtered/g1/haitianos/2013/05_jun/html/g1_fe8d58d6-2323-11ed-b24f-6dbe51e79fca_3841.html", "HTML")</f>
        <v/>
      </c>
      <c r="L3166">
        <f>HYPERLINK("https://raw.githubusercontent.com/marcosmapl/dataset_imigrantes/main/noticias_filtered/g1/haitianos/2013/05_jun/txt/g1_fe8d58d6-2323-11ed-b24f-6dbe51e79fca_3841.txt", "TXT")</f>
        <v/>
      </c>
    </row>
    <row r="3167">
      <c r="A3167" s="1" t="n">
        <v>3165</v>
      </c>
      <c r="B3167" t="n">
        <v>2013</v>
      </c>
      <c r="C3167" s="2" t="n">
        <v>41434.5375</v>
      </c>
      <c r="D3167" t="inlineStr">
        <is>
          <t>G1</t>
        </is>
      </c>
      <c r="E3167" t="inlineStr">
        <is>
          <t>VENEZUELANOS</t>
        </is>
      </c>
      <c r="F3167" t="inlineStr"/>
      <c r="G3167" t="inlineStr">
        <is>
          <t>CIA EFE</t>
        </is>
      </c>
      <c r="H3167" t="inlineStr">
        <is>
          <t>ECONOMIA VENEZUELANA ATOLA E APRESENTA SINAIS DE RECESSÃO</t>
        </is>
      </c>
      <c r="I3167" t="inlineStr"/>
      <c r="J3167">
        <f>HYPERLINK("http://g1.globo.com/mundo/noticia/2013/06/economia-venezuelana-atola-e-apresenta-sinais-de-recessao.html", "URL")</f>
        <v/>
      </c>
      <c r="K3167">
        <f>HYPERLINK("https://raw.githubusercontent.com/marcosmapl/dataset_imigrantes/main/noticias_filtered/g1/venezuelanos/2013/05_jun/html/g1_38aef784-232b-11ed-b24f-6dbe51e79fca_4231.html", "HTML")</f>
        <v/>
      </c>
      <c r="L3167">
        <f>HYPERLINK("https://raw.githubusercontent.com/marcosmapl/dataset_imigrantes/main/noticias_filtered/g1/venezuelanos/2013/05_jun/txt/g1_38aef784-232b-11ed-b24f-6dbe51e79fca_4231.txt", "TXT")</f>
        <v/>
      </c>
    </row>
    <row r="3168">
      <c r="A3168" s="1" t="n">
        <v>3166</v>
      </c>
      <c r="B3168" t="n">
        <v>2013</v>
      </c>
      <c r="C3168" s="2" t="n">
        <v>41429.510625</v>
      </c>
      <c r="D3168" t="inlineStr">
        <is>
          <t>A CRITICA</t>
        </is>
      </c>
      <c r="E3168" t="inlineStr">
        <is>
          <t>VENEZUELANOS</t>
        </is>
      </c>
      <c r="F3168" t="inlineStr">
        <is>
          <t>AMAZONIA</t>
        </is>
      </c>
      <c r="G3168" t="inlineStr">
        <is>
          <t>JONY CLAY BORGES</t>
        </is>
      </c>
      <c r="H3168" t="inlineStr">
        <is>
          <t>INSTRUMENTOS SUSTENTÁVEIS DÃO OS TONS DA AMAZÔNIA</t>
        </is>
      </c>
      <c r="I3168" t="inlineStr">
        <is>
          <t>ATELIÊ INAUGURA EXPOSIÇÃO DE INSTRUMENTOS PRODUZIDOS PELA OFICINA ESCOLA DE LUTHERIA DA AMAZÔNIA - OELA, NESTA QUINTA-FEIRA</t>
        </is>
      </c>
      <c r="J3168">
        <f>HYPERLINK("https://www.acritica.com/amazonia/instrumentos-sustentaveis-d-o-os-tons-da-amazonia-1.238220", "URL")</f>
        <v/>
      </c>
      <c r="K3168">
        <f>HYPERLINK("https://raw.githubusercontent.com/marcosmapl/dataset_imigrantes/main/noticias_filtered/a_critica/venezuelanos/2013/05_jun/html/1.238220_247.html", "HTML")</f>
        <v/>
      </c>
      <c r="L3168">
        <f>HYPERLINK("https://raw.githubusercontent.com/marcosmapl/dataset_imigrantes/main/noticias_filtered/a_critica/venezuelanos/2013/05_jun/txt/1.238220_247.txt", "TXT")</f>
        <v/>
      </c>
    </row>
    <row r="3169">
      <c r="A3169" s="1" t="n">
        <v>3167</v>
      </c>
      <c r="B3169" t="n">
        <v>2013</v>
      </c>
      <c r="C3169" s="2" t="n">
        <v>41426.88125</v>
      </c>
      <c r="D3169" t="inlineStr">
        <is>
          <t>G1</t>
        </is>
      </c>
      <c r="E3169" t="inlineStr">
        <is>
          <t>VENEZUELANOS</t>
        </is>
      </c>
      <c r="F3169" t="inlineStr"/>
      <c r="G3169" t="inlineStr">
        <is>
          <t>CE PRESSE</t>
        </is>
      </c>
      <c r="H3169" t="inlineStr">
        <is>
          <t>VENEZUELANA CONVIASA RECEBE TRÊS AVIÕES DA EMBRAER</t>
        </is>
      </c>
      <c r="I3169" t="inlineStr"/>
      <c r="J3169">
        <f>HYPERLINK("http://g1.globo.com/economia/noticia/2013/06/venezuelana-conviasa-recebe-tres-avioes-da-embraer.html", "URL")</f>
        <v/>
      </c>
      <c r="K3169">
        <f>HYPERLINK("https://raw.githubusercontent.com/marcosmapl/dataset_imigrantes/main/noticias_filtered/g1/venezuelanos/2013/05_jun/html/g1_ffd9b9de-231c-11ed-b24f-6dbe51e79fca_3478.html", "HTML")</f>
        <v/>
      </c>
      <c r="L3169">
        <f>HYPERLINK("https://raw.githubusercontent.com/marcosmapl/dataset_imigrantes/main/noticias_filtered/g1/venezuelanos/2013/05_jun/txt/g1_ffd9b9de-231c-11ed-b24f-6dbe51e79fca_3478.txt", "TXT")</f>
        <v/>
      </c>
    </row>
    <row r="3170">
      <c r="A3170" s="1" t="n">
        <v>3168</v>
      </c>
      <c r="B3170" t="n">
        <v>2013</v>
      </c>
      <c r="C3170" s="2" t="n">
        <v>41422.31666666667</v>
      </c>
      <c r="D3170" t="inlineStr">
        <is>
          <t>G1</t>
        </is>
      </c>
      <c r="E3170" t="inlineStr">
        <is>
          <t>VENEZUELANOS</t>
        </is>
      </c>
      <c r="F3170" t="inlineStr"/>
      <c r="G3170" t="inlineStr">
        <is>
          <t>RANCE PRESSE</t>
        </is>
      </c>
      <c r="H3170" t="inlineStr">
        <is>
          <t>APRESENTADOR PERDE PROGRAMA NA TV VENEZUELANA APÓS FALAR DE COMPLÔ</t>
        </is>
      </c>
      <c r="I3170" t="inlineStr"/>
      <c r="J3170">
        <f>HYPERLINK("http://g1.globo.com/mundo/noticia/2013/05/apresentador-perde-programa-na-tv-venezuelana-apos-falar-de-complo.html", "URL")</f>
        <v/>
      </c>
      <c r="K3170">
        <f>HYPERLINK("https://raw.githubusercontent.com/marcosmapl/dataset_imigrantes/main/noticias_filtered/g1/venezuelanos/2013/04_mai/html/g1_4cb39914-2322-11ed-b24f-6dbe51e79fca_3745.html", "HTML")</f>
        <v/>
      </c>
      <c r="L3170">
        <f>HYPERLINK("https://raw.githubusercontent.com/marcosmapl/dataset_imigrantes/main/noticias_filtered/g1/venezuelanos/2013/04_mai/txt/g1_4cb39914-2322-11ed-b24f-6dbe51e79fca_3745.txt", "TXT")</f>
        <v/>
      </c>
    </row>
    <row r="3171">
      <c r="A3171" s="1" t="n">
        <v>3169</v>
      </c>
      <c r="B3171" t="n">
        <v>2013</v>
      </c>
      <c r="C3171" s="2" t="n">
        <v>41422.26041666666</v>
      </c>
      <c r="D3171" t="inlineStr">
        <is>
          <t>G1</t>
        </is>
      </c>
      <c r="E3171" t="inlineStr">
        <is>
          <t>VENEZUELANOS</t>
        </is>
      </c>
      <c r="F3171" t="inlineStr"/>
      <c r="G3171" t="inlineStr">
        <is>
          <t>CE PRESSE</t>
        </is>
      </c>
      <c r="H3171" t="inlineStr">
        <is>
          <t>TV VENEZUELANA GLOBOVISIÓN CONFIRMA DECISÃO DE NÃO CONFRONTAR 'CHAVISMO'</t>
        </is>
      </c>
      <c r="I3171" t="inlineStr"/>
      <c r="J3171">
        <f>HYPERLINK("http://g1.globo.com/economia/noticia/2013/05/tv-venezuelana-globovision-confirma-decisao-de-nao-confrontar-chavismo-2.html", "URL")</f>
        <v/>
      </c>
      <c r="K3171">
        <f>HYPERLINK("https://raw.githubusercontent.com/marcosmapl/dataset_imigrantes/main/noticias_filtered/g1/venezuelanos/2013/04_mai/html/g1_2a9bbf80-2324-11ed-b24f-6dbe51e79fca_3853.html", "HTML")</f>
        <v/>
      </c>
      <c r="L3171">
        <f>HYPERLINK("https://raw.githubusercontent.com/marcosmapl/dataset_imigrantes/main/noticias_filtered/g1/venezuelanos/2013/04_mai/txt/g1_2a9bbf80-2324-11ed-b24f-6dbe51e79fca_3853.txt", "TXT")</f>
        <v/>
      </c>
    </row>
    <row r="3172">
      <c r="A3172" s="1" t="n">
        <v>3170</v>
      </c>
      <c r="B3172" t="n">
        <v>2013</v>
      </c>
      <c r="C3172" s="2" t="n">
        <v>41422.00833333333</v>
      </c>
      <c r="D3172" t="inlineStr">
        <is>
          <t>G1</t>
        </is>
      </c>
      <c r="E3172" t="inlineStr">
        <is>
          <t>VENEZUELANOS</t>
        </is>
      </c>
      <c r="F3172" t="inlineStr"/>
      <c r="G3172" t="inlineStr">
        <is>
          <t>CE PRESSE</t>
        </is>
      </c>
      <c r="H3172" t="inlineStr">
        <is>
          <t>TV VENEZUELANA GLOBOVISIÓN CONFIRMA DECISÃO DE NÃO CONFRONTAR 'CHAVISMO'</t>
        </is>
      </c>
      <c r="I3172" t="inlineStr"/>
      <c r="J3172">
        <f>HYPERLINK("http://g1.globo.com/economia/noticia/2013/05/tv-venezuelana-globovision-confirma-decisao-de-nao-confrontar-chavismo-1.html", "URL")</f>
        <v/>
      </c>
      <c r="K3172">
        <f>HYPERLINK("https://raw.githubusercontent.com/marcosmapl/dataset_imigrantes/main/noticias_filtered/g1/venezuelanos/2013/04_mai/html/g1_682e1e4e-2318-11ed-b24f-6dbe51e79fca_3258.html", "HTML")</f>
        <v/>
      </c>
      <c r="L3172">
        <f>HYPERLINK("https://raw.githubusercontent.com/marcosmapl/dataset_imigrantes/main/noticias_filtered/g1/venezuelanos/2013/04_mai/txt/g1_682e1e4e-2318-11ed-b24f-6dbe51e79fca_3258.txt", "TXT")</f>
        <v/>
      </c>
    </row>
    <row r="3173">
      <c r="A3173" s="1" t="n">
        <v>3171</v>
      </c>
      <c r="B3173" t="n">
        <v>2013</v>
      </c>
      <c r="C3173" s="2" t="n">
        <v>41419.70833333334</v>
      </c>
      <c r="D3173" t="inlineStr">
        <is>
          <t>G1</t>
        </is>
      </c>
      <c r="E3173" t="inlineStr">
        <is>
          <t>VENEZUELANOS</t>
        </is>
      </c>
      <c r="F3173" t="inlineStr"/>
      <c r="G3173" t="inlineStr">
        <is>
          <t>RANCE PRESSE</t>
        </is>
      </c>
      <c r="H3173" t="inlineStr">
        <is>
          <t>CORTE VENEZUELANA REJEITA PRIMEIRO RECURSO CONTRA CANDIDATURA DE MADURO</t>
        </is>
      </c>
      <c r="I3173" t="inlineStr"/>
      <c r="J3173">
        <f>HYPERLINK("http://g1.globo.com/mundo/noticia/2013/05/corte-venezuelana-rejeita-primeiro-recurso-contra-candidatura-de-maduro.html", "URL")</f>
        <v/>
      </c>
      <c r="K3173">
        <f>HYPERLINK("https://raw.githubusercontent.com/marcosmapl/dataset_imigrantes/main/noticias_filtered/g1/venezuelanos/2013/04_mai/html/g1_3cb45260-231d-11ed-b24f-6dbe51e79fca_3491.html", "HTML")</f>
        <v/>
      </c>
      <c r="L3173">
        <f>HYPERLINK("https://raw.githubusercontent.com/marcosmapl/dataset_imigrantes/main/noticias_filtered/g1/venezuelanos/2013/04_mai/txt/g1_3cb45260-231d-11ed-b24f-6dbe51e79fca_3491.txt", "TXT")</f>
        <v/>
      </c>
    </row>
    <row r="3174">
      <c r="A3174" s="1" t="n">
        <v>3172</v>
      </c>
      <c r="B3174" t="n">
        <v>2013</v>
      </c>
      <c r="C3174" s="2" t="n">
        <v>41417.53125</v>
      </c>
      <c r="D3174" t="inlineStr">
        <is>
          <t>G1</t>
        </is>
      </c>
      <c r="E3174" t="inlineStr">
        <is>
          <t>VENEZUELANOS</t>
        </is>
      </c>
      <c r="F3174" t="inlineStr"/>
      <c r="G3174" t="inlineStr">
        <is>
          <t>CE PRESSE</t>
        </is>
      </c>
      <c r="H3174" t="inlineStr">
        <is>
          <t>HELICÓPTERO DA POLÍCIA VENEZUELANA CAI DURANTE PERSEGUIÇÃO</t>
        </is>
      </c>
      <c r="I3174" t="inlineStr"/>
      <c r="J3174">
        <f>HYPERLINK("http://g1.globo.com/mundo/noticia/2013/05/helicoptero-da-policia-venezuelana-cai-durante-perseguicao.html", "URL")</f>
        <v/>
      </c>
      <c r="K3174">
        <f>HYPERLINK("https://raw.githubusercontent.com/marcosmapl/dataset_imigrantes/main/noticias_filtered/g1/venezuelanos/2013/04_mai/html/g1_7671beee-230d-11ed-b24f-6dbe51e79fca_2689.html", "HTML")</f>
        <v/>
      </c>
      <c r="L3174">
        <f>HYPERLINK("https://raw.githubusercontent.com/marcosmapl/dataset_imigrantes/main/noticias_filtered/g1/venezuelanos/2013/04_mai/txt/g1_7671beee-230d-11ed-b24f-6dbe51e79fca_2689.txt", "TXT")</f>
        <v/>
      </c>
    </row>
    <row r="3175">
      <c r="A3175" s="1" t="n">
        <v>3173</v>
      </c>
      <c r="B3175" t="n">
        <v>2013</v>
      </c>
      <c r="C3175" s="2" t="n">
        <v>41416.81458333333</v>
      </c>
      <c r="D3175" t="inlineStr">
        <is>
          <t>G1</t>
        </is>
      </c>
      <c r="E3175" t="inlineStr">
        <is>
          <t>VENEZUELANOS</t>
        </is>
      </c>
      <c r="F3175" t="inlineStr"/>
      <c r="G3175" t="inlineStr">
        <is>
          <t>CIA EFE</t>
        </is>
      </c>
      <c r="H3175" t="inlineStr">
        <is>
          <t>PETROBRAS MANTÉM INTERESSE EM ASSOCIAÇÃO COM VENEZUELANA PDVSA EM REFINARIA</t>
        </is>
      </c>
      <c r="I3175" t="inlineStr"/>
      <c r="J3175">
        <f>HYPERLINK("http://g1.globo.com/mundo/noticia/2013/05/petrobras-mantem-interesse-em-associacao-com-venezuelana-pdvsa-em-refinaria.html", "URL")</f>
        <v/>
      </c>
      <c r="K3175">
        <f>HYPERLINK("https://raw.githubusercontent.com/marcosmapl/dataset_imigrantes/main/noticias_filtered/g1/venezuelanos/2013/04_mai/html/g1_f456497e-231c-11ed-b24f-6dbe51e79fca_3476.html", "HTML")</f>
        <v/>
      </c>
      <c r="L3175">
        <f>HYPERLINK("https://raw.githubusercontent.com/marcosmapl/dataset_imigrantes/main/noticias_filtered/g1/venezuelanos/2013/04_mai/txt/g1_f456497e-231c-11ed-b24f-6dbe51e79fca_3476.txt", "TXT")</f>
        <v/>
      </c>
    </row>
    <row r="3176">
      <c r="A3176" s="1" t="n">
        <v>3174</v>
      </c>
      <c r="B3176" t="n">
        <v>2013</v>
      </c>
      <c r="C3176" s="2" t="n">
        <v>41415.85833333333</v>
      </c>
      <c r="D3176" t="inlineStr">
        <is>
          <t>G1</t>
        </is>
      </c>
      <c r="E3176" t="inlineStr">
        <is>
          <t>VENEZUELANOS</t>
        </is>
      </c>
      <c r="F3176" t="inlineStr"/>
      <c r="G3176" t="inlineStr">
        <is>
          <t>ERS</t>
        </is>
      </c>
      <c r="H3176" t="inlineStr">
        <is>
          <t>ASSEMBLEIA VENEZUELANA REJEITA INVESTIGAR DENÚNCIAS DE CORRUPÇÃO</t>
        </is>
      </c>
      <c r="I3176" t="inlineStr"/>
      <c r="J3176">
        <f>HYPERLINK("http://g1.globo.com/mundo/noticia/2013/05/assembleia-venezuelana-rejeita-investigar-denuncias-de-corrupcao.html", "URL")</f>
        <v/>
      </c>
      <c r="K3176">
        <f>HYPERLINK("https://raw.githubusercontent.com/marcosmapl/dataset_imigrantes/main/noticias_filtered/g1/venezuelanos/2013/04_mai/html/g1_ed83447a-2322-11ed-b24f-6dbe51e79fca_3779.html", "HTML")</f>
        <v/>
      </c>
      <c r="L3176">
        <f>HYPERLINK("https://raw.githubusercontent.com/marcosmapl/dataset_imigrantes/main/noticias_filtered/g1/venezuelanos/2013/04_mai/txt/g1_ed83447a-2322-11ed-b24f-6dbe51e79fca_3779.txt", "TXT")</f>
        <v/>
      </c>
    </row>
    <row r="3177">
      <c r="A3177" s="1" t="n">
        <v>3175</v>
      </c>
      <c r="B3177" t="n">
        <v>2013</v>
      </c>
      <c r="C3177" s="2" t="n">
        <v>41409.98935185185</v>
      </c>
      <c r="D3177" t="inlineStr">
        <is>
          <t>A CRITICA</t>
        </is>
      </c>
      <c r="E3177" t="inlineStr">
        <is>
          <t>HAITIANOS</t>
        </is>
      </c>
      <c r="F3177" t="inlineStr"/>
      <c r="G3177" t="inlineStr">
        <is>
          <t>MARCELO BRANDÃO / AGÊNCIA BRASIL</t>
        </is>
      </c>
      <c r="H3177" t="inlineStr">
        <is>
          <t>BRASIL FARÁ CAMPANHA PARA MOSTRAR AOS HAITIANOS OS RISCOS DA IMIGRAÇÃO ILEGAL</t>
        </is>
      </c>
      <c r="I3177" t="inlineStr">
        <is>
          <t>OUTROS PAÍSES TAMBÉM CONCORDARAM EM TROCAR INFORMAÇÕES SOBRE AS ROTAS ALTERNATIVAS UTILIZADAS POR REDES CRIMINOSAS DE IMIGRAÇÃO</t>
        </is>
      </c>
      <c r="J3177">
        <f>HYPERLINK("https://www.acritica.com/brasil-fara-campanha-para-mostrar-aos-haitianos-os-riscos-da-imigrac-o-ilegal-1.137036", "URL")</f>
        <v/>
      </c>
      <c r="K3177">
        <f>HYPERLINK("https://raw.githubusercontent.com/marcosmapl/dataset_imigrantes/main/noticias_filtered/a_critica/haitianos/2013/04_mai/html/1.137036_552.html", "HTML")</f>
        <v/>
      </c>
      <c r="L3177">
        <f>HYPERLINK("https://raw.githubusercontent.com/marcosmapl/dataset_imigrantes/main/noticias_filtered/a_critica/haitianos/2013/04_mai/txt/1.137036_552.txt", "TXT")</f>
        <v/>
      </c>
    </row>
    <row r="3178">
      <c r="A3178" s="1" t="n">
        <v>3176</v>
      </c>
      <c r="B3178" t="n">
        <v>2013</v>
      </c>
      <c r="C3178" s="2" t="n">
        <v>41409.60174768518</v>
      </c>
      <c r="D3178" t="inlineStr">
        <is>
          <t>A CRITICA</t>
        </is>
      </c>
      <c r="E3178" t="inlineStr">
        <is>
          <t>HAITIANOS</t>
        </is>
      </c>
      <c r="F3178" t="inlineStr"/>
      <c r="G3178" t="inlineStr">
        <is>
          <t>ACRÍTICA.COM</t>
        </is>
      </c>
      <c r="H3178" t="inlineStr">
        <is>
          <t>PRIMEIRA CELEBRAÇÃO DE DOM SÉRGIO ACONTECE NO PRÓXIMO DOMINGO EM MANAUS</t>
        </is>
      </c>
      <c r="I3178" t="inlineStr">
        <is>
          <t>IGREJA CATÓLICA ESPERA 100 MIL FIÉIS NA FESTA DE PENTECOSTES. A ORGANIZAÇÃO SOLICITA AINDA CONTRIBUIÇÃO DE 1 KG DE ALIMENTO NÃO PERECÍVEL PARA DOAÇÕES</t>
        </is>
      </c>
      <c r="J3178">
        <f>HYPERLINK("https://www.acritica.com/primeira-celebrac-o-de-dom-sergio-acontece-no-proximo-domingo-em-manaus-1.136896", "URL")</f>
        <v/>
      </c>
      <c r="K3178">
        <f>HYPERLINK("https://raw.githubusercontent.com/marcosmapl/dataset_imigrantes/main/noticias_filtered/a_critica/haitianos/2013/04_mai/html/1.136896_329.html", "HTML")</f>
        <v/>
      </c>
      <c r="L3178">
        <f>HYPERLINK("https://raw.githubusercontent.com/marcosmapl/dataset_imigrantes/main/noticias_filtered/a_critica/haitianos/2013/04_mai/txt/1.136896_329.txt", "TXT")</f>
        <v/>
      </c>
    </row>
    <row r="3179">
      <c r="A3179" s="1" t="n">
        <v>3177</v>
      </c>
      <c r="B3179" t="n">
        <v>2013</v>
      </c>
      <c r="C3179" s="2" t="n">
        <v>41408.64857638889</v>
      </c>
      <c r="D3179" t="inlineStr">
        <is>
          <t>A CRITICA</t>
        </is>
      </c>
      <c r="E3179" t="inlineStr">
        <is>
          <t>VENEZUELANOS</t>
        </is>
      </c>
      <c r="F3179" t="inlineStr"/>
      <c r="G3179" t="inlineStr">
        <is>
          <t>LEANDRA FELIPE/ CORRESPONDENTE DA AGÊNCIA BRASIL</t>
        </is>
      </c>
      <c r="H3179" t="inlineStr">
        <is>
          <t>JUSTIÇA ELEITORAL VENEZUELANA TRANSMITE AUDITORIA AO VIVO PELA INTERNET</t>
        </is>
      </c>
      <c r="I3179" t="inlineStr">
        <is>
          <t>TÉCNICOS DO CNE E DAS ORGANIZAÇÕES POLÍTICAS JÁ AUDITARAM 355 MESAS DE VOTAÇÃO, COM UM TOTAL DE 147.216 COMPROVANTES VERIFICADOS. A SOLICITAÇÃO PARA VERIFICAR TODAS AS URNAS FOI FEITA PELA OPOSIÇÃO, LIDERADA PELO CANDIDATO DERROTADO NAS ELEIÇÕES, O GOVERNADOR DO ESTADO DE MIRANDA, HENRIQUE CAPRILES</t>
        </is>
      </c>
      <c r="J3179">
        <f>HYPERLINK("https://www.acritica.com/justica-eleitoral-venezuelana-transmite-auditoria-ao-vivo-pela-internet-1.114318", "URL")</f>
        <v/>
      </c>
      <c r="K3179">
        <f>HYPERLINK("https://raw.githubusercontent.com/marcosmapl/dataset_imigrantes/main/noticias_filtered/a_critica/venezuelanos/2013/04_mai/html/1.114318_272.html", "HTML")</f>
        <v/>
      </c>
      <c r="L3179">
        <f>HYPERLINK("https://raw.githubusercontent.com/marcosmapl/dataset_imigrantes/main/noticias_filtered/a_critica/venezuelanos/2013/04_mai/txt/1.114318_272.txt", "TXT")</f>
        <v/>
      </c>
    </row>
    <row r="3180">
      <c r="A3180" s="1" t="n">
        <v>3178</v>
      </c>
      <c r="B3180" t="n">
        <v>2013</v>
      </c>
      <c r="C3180" s="2" t="n">
        <v>41407.7625</v>
      </c>
      <c r="D3180" t="inlineStr">
        <is>
          <t>G1</t>
        </is>
      </c>
      <c r="E3180" t="inlineStr">
        <is>
          <t>VENEZUELANOS</t>
        </is>
      </c>
      <c r="F3180" t="inlineStr"/>
      <c r="G3180" t="inlineStr">
        <is>
          <t>CE PRESSE</t>
        </is>
      </c>
      <c r="H3180" t="inlineStr">
        <is>
          <t>APÓS VENDA, PERFIL DA TV VENEZUELANA GLOBOVISIÓN SERÁ DE CENTRO</t>
        </is>
      </c>
      <c r="I3180" t="inlineStr"/>
      <c r="J3180">
        <f>HYPERLINK("http://g1.globo.com/economia/noticia/2013/05/apos-venda-perfil-da-tv-venezuelana-globovision-sera-de-centro.html", "URL")</f>
        <v/>
      </c>
      <c r="K3180">
        <f>HYPERLINK("https://raw.githubusercontent.com/marcosmapl/dataset_imigrantes/main/noticias_filtered/g1/venezuelanos/2013/04_mai/html/g1_2390ded4-2327-11ed-b24f-6dbe51e79fca_4020.html", "HTML")</f>
        <v/>
      </c>
      <c r="L3180">
        <f>HYPERLINK("https://raw.githubusercontent.com/marcosmapl/dataset_imigrantes/main/noticias_filtered/g1/venezuelanos/2013/04_mai/txt/g1_2390ded4-2327-11ed-b24f-6dbe51e79fca_4020.txt", "TXT")</f>
        <v/>
      </c>
    </row>
    <row r="3181">
      <c r="A3181" s="1" t="n">
        <v>3179</v>
      </c>
      <c r="B3181" t="n">
        <v>2013</v>
      </c>
      <c r="C3181" s="2" t="n">
        <v>41403.53400462963</v>
      </c>
      <c r="D3181" t="inlineStr">
        <is>
          <t>A CRITICA</t>
        </is>
      </c>
      <c r="E3181" t="inlineStr">
        <is>
          <t>VENEZUELANOS</t>
        </is>
      </c>
      <c r="F3181" t="inlineStr"/>
      <c r="G3181" t="inlineStr">
        <is>
          <t>RENATA GIRALDI/ AGÊNCIA BRASIL</t>
        </is>
      </c>
      <c r="H3181" t="inlineStr">
        <is>
          <t>MADURO PASSA O DIA EM BRASÍLIA E TEM REUNIÕES COM DILMA E LULA</t>
        </is>
      </c>
      <c r="I3181" t="inlineStr">
        <is>
          <t>NICOLÁS MADURO DEVE SE REUNIR COM A PRESIDENTA DILMA ROUSSEFF APENAS NA PARTE DA TARDE, NO PALÁCIO DO PLANALTO. NÃO ESTÃO PREVISTAS ASSINATURAS DE ATOS NEM ANÚNCIOS DE PARCERIAS</t>
        </is>
      </c>
      <c r="J3181">
        <f>HYPERLINK("https://www.acritica.com/maduro-passa-o-dia-em-brasilia-e-tem-reuni-es-com-dilma-e-lula-1.212479", "URL")</f>
        <v/>
      </c>
      <c r="K3181">
        <f>HYPERLINK("https://raw.githubusercontent.com/marcosmapl/dataset_imigrantes/main/noticias_filtered/a_critica/venezuelanos/2013/04_mai/html/1.212479_677.html", "HTML")</f>
        <v/>
      </c>
      <c r="L3181">
        <f>HYPERLINK("https://raw.githubusercontent.com/marcosmapl/dataset_imigrantes/main/noticias_filtered/a_critica/venezuelanos/2013/04_mai/txt/1.212479_677.txt", "TXT")</f>
        <v/>
      </c>
    </row>
    <row r="3182">
      <c r="A3182" s="1" t="n">
        <v>3180</v>
      </c>
      <c r="B3182" t="n">
        <v>2013</v>
      </c>
      <c r="C3182" s="2" t="n">
        <v>41402.95208333333</v>
      </c>
      <c r="D3182" t="inlineStr">
        <is>
          <t>G1</t>
        </is>
      </c>
      <c r="E3182" t="inlineStr">
        <is>
          <t>VENEZUELANOS</t>
        </is>
      </c>
      <c r="F3182" t="inlineStr"/>
      <c r="G3182" t="inlineStr">
        <is>
          <t>CE PRESSE</t>
        </is>
      </c>
      <c r="H3182" t="inlineStr">
        <is>
          <t>MADURO: DIREITA VENEZUELANA TENTA 'DESTRUIR' UNIDADE REGIONAL</t>
        </is>
      </c>
      <c r="I3182" t="inlineStr"/>
      <c r="J3182">
        <f>HYPERLINK("http://g1.globo.com/economia/noticia/2013/05/maduro-direita-venezuelana-tenta-destruir-unidade-regional.html", "URL")</f>
        <v/>
      </c>
      <c r="K3182">
        <f>HYPERLINK("https://raw.githubusercontent.com/marcosmapl/dataset_imigrantes/main/noticias_filtered/g1/venezuelanos/2013/04_mai/html/g1_3d327e56-2327-11ed-b24f-6dbe51e79fca_4024.html", "HTML")</f>
        <v/>
      </c>
      <c r="L3182">
        <f>HYPERLINK("https://raw.githubusercontent.com/marcosmapl/dataset_imigrantes/main/noticias_filtered/g1/venezuelanos/2013/04_mai/txt/g1_3d327e56-2327-11ed-b24f-6dbe51e79fca_4024.txt", "TXT")</f>
        <v/>
      </c>
    </row>
    <row r="3183">
      <c r="A3183" s="1" t="n">
        <v>3181</v>
      </c>
      <c r="B3183" t="n">
        <v>2013</v>
      </c>
      <c r="C3183" s="2" t="n">
        <v>41402.55625</v>
      </c>
      <c r="D3183" t="inlineStr">
        <is>
          <t>G1</t>
        </is>
      </c>
      <c r="E3183" t="inlineStr">
        <is>
          <t>HAITIANOS</t>
        </is>
      </c>
      <c r="F3183" t="inlineStr"/>
      <c r="G3183" t="inlineStr">
        <is>
          <t>CE PRESSE</t>
        </is>
      </c>
      <c r="H3183" t="inlineStr">
        <is>
          <t>ARISTIDE DEPÕE POR ASSASSINATO DE JORNALISTA HAITIANO EM 2000</t>
        </is>
      </c>
      <c r="I3183" t="inlineStr"/>
      <c r="J3183">
        <f>HYPERLINK("http://g1.globo.com/mundo/noticia/2013/05/aristide-depoe-por-assassinato-de-jornalista-haitiano-em-2000.html", "URL")</f>
        <v/>
      </c>
      <c r="K3183">
        <f>HYPERLINK("https://raw.githubusercontent.com/marcosmapl/dataset_imigrantes/main/noticias_filtered/g1/haitianos/2013/04_mai/html/g1_0625d8be-231c-11ed-b24f-6dbe51e79fca_3424.html", "HTML")</f>
        <v/>
      </c>
      <c r="L3183">
        <f>HYPERLINK("https://raw.githubusercontent.com/marcosmapl/dataset_imigrantes/main/noticias_filtered/g1/haitianos/2013/04_mai/txt/g1_0625d8be-231c-11ed-b24f-6dbe51e79fca_3424.txt", "TXT")</f>
        <v/>
      </c>
    </row>
    <row r="3184">
      <c r="A3184" s="1" t="n">
        <v>3182</v>
      </c>
      <c r="B3184" t="n">
        <v>2013</v>
      </c>
      <c r="C3184" s="2" t="n">
        <v>41402.50833333333</v>
      </c>
      <c r="D3184" t="inlineStr">
        <is>
          <t>G1</t>
        </is>
      </c>
      <c r="E3184" t="inlineStr">
        <is>
          <t>HAITIANOS</t>
        </is>
      </c>
      <c r="F3184" t="inlineStr"/>
      <c r="G3184" t="inlineStr">
        <is>
          <t>EUTERS</t>
        </is>
      </c>
      <c r="H3184" t="inlineStr">
        <is>
          <t>EX-PRESIDENTE HAITIANO VAI A TRIBUNAL PARA TESTEMUNHAR SOBRE ASSASSINATO</t>
        </is>
      </c>
      <c r="I3184" t="inlineStr"/>
      <c r="J3184">
        <f>HYPERLINK("http://g1.globo.com/mundo/noticia/2013/05/ex-presidente-haitiano-aparece-em-tribunal-para-testemunhar-em-caso-de-assassinato.html", "URL")</f>
        <v/>
      </c>
      <c r="K3184">
        <f>HYPERLINK("https://raw.githubusercontent.com/marcosmapl/dataset_imigrantes/main/noticias_filtered/g1/haitianos/2013/04_mai/html/g1_3b46706c-2308-11ed-b24f-6dbe51e79fca_2374.html", "HTML")</f>
        <v/>
      </c>
      <c r="L3184">
        <f>HYPERLINK("https://raw.githubusercontent.com/marcosmapl/dataset_imigrantes/main/noticias_filtered/g1/haitianos/2013/04_mai/txt/g1_3b46706c-2308-11ed-b24f-6dbe51e79fca_2374.txt", "TXT")</f>
        <v/>
      </c>
    </row>
    <row r="3185">
      <c r="A3185" s="1" t="n">
        <v>3183</v>
      </c>
      <c r="B3185" t="n">
        <v>2013</v>
      </c>
      <c r="C3185" s="2" t="n">
        <v>41402.49739583334</v>
      </c>
      <c r="D3185" t="inlineStr">
        <is>
          <t>A CRITICA</t>
        </is>
      </c>
      <c r="E3185" t="inlineStr">
        <is>
          <t>VENEZUELANOS</t>
        </is>
      </c>
      <c r="F3185" t="inlineStr"/>
      <c r="G3185" t="inlineStr">
        <is>
          <t>RENATA GIRALDI/AGÊNCIA BRASIL</t>
        </is>
      </c>
      <c r="H3185" t="inlineStr">
        <is>
          <t>MADURO DESEMBARCA NESTA QUINTA-FEIRA (9) NO BRASIL</t>
        </is>
      </c>
      <c r="I3185" t="inlineStr">
        <is>
          <t>NESTA QUARTA (8), O PRESIDENTE DA VENEZUELA, NICOLÁS MADURO CHEGA A BUENOS AIRES (ARGENTINA) SE REÚNE COM A PRESIDENTA CRISTINA KIRCHNER</t>
        </is>
      </c>
      <c r="J3185">
        <f>HYPERLINK("https://www.acritica.com/maduro-desembarca-nesta-quinta-feira-9-no-brasil-1.136059", "URL")</f>
        <v/>
      </c>
      <c r="K3185">
        <f>HYPERLINK("https://raw.githubusercontent.com/marcosmapl/dataset_imigrantes/main/noticias_filtered/a_critica/venezuelanos/2013/04_mai/html/1.136059_225.html", "HTML")</f>
        <v/>
      </c>
      <c r="L3185">
        <f>HYPERLINK("https://raw.githubusercontent.com/marcosmapl/dataset_imigrantes/main/noticias_filtered/a_critica/venezuelanos/2013/04_mai/txt/1.136059_225.txt", "TXT")</f>
        <v/>
      </c>
    </row>
    <row r="3186">
      <c r="A3186" s="1" t="n">
        <v>3184</v>
      </c>
      <c r="B3186" t="n">
        <v>2013</v>
      </c>
      <c r="C3186" s="2" t="n">
        <v>41401.55416666667</v>
      </c>
      <c r="D3186" t="inlineStr">
        <is>
          <t>G1</t>
        </is>
      </c>
      <c r="E3186" t="inlineStr">
        <is>
          <t>VENEZUELANOS</t>
        </is>
      </c>
      <c r="F3186" t="inlineStr"/>
      <c r="G3186" t="inlineStr">
        <is>
          <t>RANCE PRESSE</t>
        </is>
      </c>
      <c r="H3186" t="inlineStr">
        <is>
          <t>OPOSIÇÃO VENEZUELANA DENUNCIA GOVERNO AO MERCOSUL</t>
        </is>
      </c>
      <c r="I3186" t="inlineStr"/>
      <c r="J3186">
        <f>HYPERLINK("http://g1.globo.com/mundo/noticia/2013/05/oposicao-venezuelana-denuncia-governo-na-comissao-de-direitos-humanos-do-mercosul.html", "URL")</f>
        <v/>
      </c>
      <c r="K3186">
        <f>HYPERLINK("https://raw.githubusercontent.com/marcosmapl/dataset_imigrantes/main/noticias_filtered/g1/venezuelanos/2013/04_mai/html/g1_48e76d3c-230f-11ed-b24f-6dbe51e79fca_2788.html", "HTML")</f>
        <v/>
      </c>
      <c r="L3186">
        <f>HYPERLINK("https://raw.githubusercontent.com/marcosmapl/dataset_imigrantes/main/noticias_filtered/g1/venezuelanos/2013/04_mai/txt/g1_48e76d3c-230f-11ed-b24f-6dbe51e79fca_2788.txt", "TXT")</f>
        <v/>
      </c>
    </row>
    <row r="3187">
      <c r="A3187" s="1" t="n">
        <v>3185</v>
      </c>
      <c r="B3187" t="n">
        <v>2013</v>
      </c>
      <c r="C3187" s="2" t="n">
        <v>41400.42208333333</v>
      </c>
      <c r="D3187" t="inlineStr">
        <is>
          <t>A CRITICA</t>
        </is>
      </c>
      <c r="E3187" t="inlineStr">
        <is>
          <t>HAITIANOS</t>
        </is>
      </c>
      <c r="F3187" t="inlineStr">
        <is>
          <t>MANAUS</t>
        </is>
      </c>
      <c r="G3187" t="inlineStr">
        <is>
          <t>NAFÉRSON CRUZ</t>
        </is>
      </c>
      <c r="H3187" t="inlineStr">
        <is>
          <t>POLÍCIA INVESTIGA MILÍCIAS NO CENTRO DE MANAUS</t>
        </is>
      </c>
      <c r="I3187" t="inlineStr">
        <is>
          <t>ATUAÇÃO DE GRUPOS ARMADOS QUE COBRAM ENTRE R$3 E R$5 AO DIA PODE SER PARALISADA POR CONTA DE TRANSFERÊNCIA DE DELEGADO</t>
        </is>
      </c>
      <c r="J3187">
        <f>HYPERLINK("https://www.acritica.com/manaus/policia-investiga-milicias-no-centro-de-manaus-1.120722", "URL")</f>
        <v/>
      </c>
      <c r="K3187">
        <f>HYPERLINK("https://raw.githubusercontent.com/marcosmapl/dataset_imigrantes/main/noticias_filtered/a_critica/haitianos/2013/04_mai/html/1.120722_582.html", "HTML")</f>
        <v/>
      </c>
      <c r="L3187">
        <f>HYPERLINK("https://raw.githubusercontent.com/marcosmapl/dataset_imigrantes/main/noticias_filtered/a_critica/haitianos/2013/04_mai/txt/1.120722_582.txt", "TXT")</f>
        <v/>
      </c>
    </row>
    <row r="3188">
      <c r="A3188" s="1" t="n">
        <v>3186</v>
      </c>
      <c r="B3188" t="n">
        <v>2013</v>
      </c>
      <c r="C3188" s="2" t="n">
        <v>41397.46564814815</v>
      </c>
      <c r="D3188" t="inlineStr">
        <is>
          <t>A CRITICA</t>
        </is>
      </c>
      <c r="E3188" t="inlineStr">
        <is>
          <t>VENEZUELANOS</t>
        </is>
      </c>
      <c r="F3188" t="inlineStr"/>
      <c r="G3188" t="inlineStr">
        <is>
          <t>LEANDRA FELIPE</t>
        </is>
      </c>
      <c r="H3188" t="inlineStr">
        <is>
          <t>CAPRILES DIZ TER PROVAS QUE JUSTIFICAM IMPUGNAÇÃO DA ELEIÇÃO NA VENEZUELA</t>
        </is>
      </c>
      <c r="I3188" t="inlineStr">
        <is>
          <t>"NÓS TEMOS CONHECIMENTO DE QUE FORAM REGISTRADOS QUASE 200 MIL VOTOS DE PESSOAS QUE JÁ MORRERAM E MAIS DE 21 MIL VOTOS DE PESSOAS COM O MESMO NOME", DECLAROU CAPRILES</t>
        </is>
      </c>
      <c r="J3188">
        <f>HYPERLINK("https://www.acritica.com/capriles-diz-ter-provas-que-justificam-impugnac-o-da-eleic-o-na-venezuela-1.135677", "URL")</f>
        <v/>
      </c>
      <c r="K3188">
        <f>HYPERLINK("https://raw.githubusercontent.com/marcosmapl/dataset_imigrantes/main/noticias_filtered/a_critica/venezuelanos/2013/04_mai/html/1.135677_1140.html", "HTML")</f>
        <v/>
      </c>
      <c r="L3188">
        <f>HYPERLINK("https://raw.githubusercontent.com/marcosmapl/dataset_imigrantes/main/noticias_filtered/a_critica/venezuelanos/2013/04_mai/txt/1.135677_1140.txt", "TXT")</f>
        <v/>
      </c>
    </row>
    <row r="3189">
      <c r="A3189" s="1" t="n">
        <v>3187</v>
      </c>
      <c r="B3189" t="n">
        <v>2013</v>
      </c>
      <c r="C3189" s="2" t="n">
        <v>41396.90416666667</v>
      </c>
      <c r="D3189" t="inlineStr">
        <is>
          <t>G1</t>
        </is>
      </c>
      <c r="E3189" t="inlineStr">
        <is>
          <t>VENEZUELANOS</t>
        </is>
      </c>
      <c r="F3189" t="inlineStr"/>
      <c r="G3189" t="inlineStr"/>
      <c r="H3189" t="inlineStr">
        <is>
          <t>OPOSIÇÃO VENEZUELANA ENTRA COM PEDIDO DE IMPUGNAÇÃO DAS ELEIÇÕES</t>
        </is>
      </c>
      <c r="I3189" t="inlineStr"/>
      <c r="J3189">
        <f>HYPERLINK("http://g1.globo.com/jornal-nacional/noticia/2013/05/oposicao-venezuelana-entra-com-pedido-de-impugnacao-das-eleicoes.html", "URL")</f>
        <v/>
      </c>
      <c r="K3189">
        <f>HYPERLINK("https://raw.githubusercontent.com/marcosmapl/dataset_imigrantes/main/noticias_filtered/g1/venezuelanos/2013/04_mai/html/g1_8551289a-232c-11ed-b24f-6dbe51e79fca_4310.html", "HTML")</f>
        <v/>
      </c>
      <c r="L3189">
        <f>HYPERLINK("https://raw.githubusercontent.com/marcosmapl/dataset_imigrantes/main/noticias_filtered/g1/venezuelanos/2013/04_mai/txt/g1_8551289a-232c-11ed-b24f-6dbe51e79fca_4310.txt", "TXT")</f>
        <v/>
      </c>
    </row>
    <row r="3190">
      <c r="A3190" s="1" t="n">
        <v>3188</v>
      </c>
      <c r="B3190" t="n">
        <v>2013</v>
      </c>
      <c r="C3190" s="2" t="n">
        <v>41396.875</v>
      </c>
      <c r="D3190" t="inlineStr">
        <is>
          <t>G1</t>
        </is>
      </c>
      <c r="E3190" t="inlineStr">
        <is>
          <t>HAITIANOS</t>
        </is>
      </c>
      <c r="F3190" t="inlineStr"/>
      <c r="G3190" t="inlineStr">
        <is>
          <t>1 RO COM INFORMAÇÕES DA TV RO</t>
        </is>
      </c>
      <c r="H3190" t="inlineStr">
        <is>
          <t>PARA AMENIZAR DIFICULDADES, PROJETO ENSINA PORTUGUÊS A HAITIANOS, EM RO</t>
        </is>
      </c>
      <c r="I3190" t="inlineStr"/>
      <c r="J3190">
        <f>HYPERLINK("http://g1.globo.com/ro/rondonia/noticia/2013/05/para-amenizar-dificuldades-projeto-ensina-portugues-haitianos-em-ro.html", "URL")</f>
        <v/>
      </c>
      <c r="K3190">
        <f>HYPERLINK("https://raw.githubusercontent.com/marcosmapl/dataset_imigrantes/main/noticias_filtered/g1/haitianos/2013/04_mai/html/g1_d8888c78-22f6-11ed-b24f-6dbe51e79fca_2042.html", "HTML")</f>
        <v/>
      </c>
      <c r="L3190">
        <f>HYPERLINK("https://raw.githubusercontent.com/marcosmapl/dataset_imigrantes/main/noticias_filtered/g1/haitianos/2013/04_mai/txt/g1_d8888c78-22f6-11ed-b24f-6dbe51e79fca_2042.txt", "TXT")</f>
        <v/>
      </c>
    </row>
    <row r="3191">
      <c r="A3191" s="1" t="n">
        <v>3189</v>
      </c>
      <c r="B3191" t="n">
        <v>2013</v>
      </c>
      <c r="C3191" s="2" t="n">
        <v>41396.79583333333</v>
      </c>
      <c r="D3191" t="inlineStr">
        <is>
          <t>G1</t>
        </is>
      </c>
      <c r="E3191" t="inlineStr">
        <is>
          <t>VENEZUELANOS</t>
        </is>
      </c>
      <c r="F3191" t="inlineStr"/>
      <c r="G3191" t="inlineStr">
        <is>
          <t>CIA EFE</t>
        </is>
      </c>
      <c r="H3191" t="inlineStr">
        <is>
          <t>IGREJA VENEZUELANA ESTÁ DISPOSTA A MEDIAR DIÁLOGO ENTRE GOVERNO E OPOSIÇÃO</t>
        </is>
      </c>
      <c r="I3191" t="inlineStr"/>
      <c r="J3191">
        <f>HYPERLINK("http://g1.globo.com/mundo/noticia/2013/05/igreja-venezuelana-esta-disposta-a-mediar-dialogo-entre-governo-e-oposicao.html", "URL")</f>
        <v/>
      </c>
      <c r="K3191">
        <f>HYPERLINK("https://raw.githubusercontent.com/marcosmapl/dataset_imigrantes/main/noticias_filtered/g1/venezuelanos/2013/04_mai/html/g1_1382b54e-2313-11ed-b24f-6dbe51e79fca_2991.html", "HTML")</f>
        <v/>
      </c>
      <c r="L3191">
        <f>HYPERLINK("https://raw.githubusercontent.com/marcosmapl/dataset_imigrantes/main/noticias_filtered/g1/venezuelanos/2013/04_mai/txt/g1_1382b54e-2313-11ed-b24f-6dbe51e79fca_2991.txt", "TXT")</f>
        <v/>
      </c>
    </row>
    <row r="3192">
      <c r="A3192" s="1" t="n">
        <v>3190</v>
      </c>
      <c r="B3192" t="n">
        <v>2013</v>
      </c>
      <c r="C3192" s="2" t="n">
        <v>41396.73333333333</v>
      </c>
      <c r="D3192" t="inlineStr">
        <is>
          <t>G1</t>
        </is>
      </c>
      <c r="E3192" t="inlineStr">
        <is>
          <t>VENEZUELANOS</t>
        </is>
      </c>
      <c r="F3192" t="inlineStr"/>
      <c r="G3192" t="inlineStr">
        <is>
          <t>CE PRESSE</t>
        </is>
      </c>
      <c r="H3192" t="inlineStr">
        <is>
          <t>OPOSIÇÃO VENEZUELANA APRESENTA IMPUGNAÇÃO DE RESULTADOS ELEITORAIS</t>
        </is>
      </c>
      <c r="I3192" t="inlineStr"/>
      <c r="J3192">
        <f>HYPERLINK("http://g1.globo.com/mundo/noticia/2013/05/oposicao-venezuelana-apresenta-impugnacao-de-resultados-eleitorais.html", "URL")</f>
        <v/>
      </c>
      <c r="K3192">
        <f>HYPERLINK("https://raw.githubusercontent.com/marcosmapl/dataset_imigrantes/main/noticias_filtered/g1/venezuelanos/2013/04_mai/html/g1_2f5e4ff4-232b-11ed-b24f-6dbe51e79fca_4228.html", "HTML")</f>
        <v/>
      </c>
      <c r="L3192">
        <f>HYPERLINK("https://raw.githubusercontent.com/marcosmapl/dataset_imigrantes/main/noticias_filtered/g1/venezuelanos/2013/04_mai/txt/g1_2f5e4ff4-232b-11ed-b24f-6dbe51e79fca_4228.txt", "TXT")</f>
        <v/>
      </c>
    </row>
    <row r="3193">
      <c r="A3193" s="1" t="n">
        <v>3191</v>
      </c>
      <c r="B3193" t="n">
        <v>2013</v>
      </c>
      <c r="C3193" s="2" t="n">
        <v>41395.70208333333</v>
      </c>
      <c r="D3193" t="inlineStr">
        <is>
          <t>G1</t>
        </is>
      </c>
      <c r="E3193" t="inlineStr">
        <is>
          <t>VENEZUELANOS</t>
        </is>
      </c>
      <c r="F3193" t="inlineStr"/>
      <c r="G3193" t="inlineStr">
        <is>
          <t>CE PRESSE</t>
        </is>
      </c>
      <c r="H3193" t="inlineStr">
        <is>
          <t>OPOSIÇÃO VENEZUELANA IMPUGNARÁ RESULTADOS ELEITORAIS NA QUINTA</t>
        </is>
      </c>
      <c r="I3193" t="inlineStr"/>
      <c r="J3193">
        <f>HYPERLINK("http://g1.globo.com/mundo/noticia/2013/05/oposicao-venezuelana-impugnara-resultados-eleitorais-na-quinta-1.html", "URL")</f>
        <v/>
      </c>
      <c r="K3193">
        <f>HYPERLINK("https://raw.githubusercontent.com/marcosmapl/dataset_imigrantes/main/noticias_filtered/g1/venezuelanos/2013/04_mai/html/g1_89ea388c-230f-11ed-b24f-6dbe51e79fca_2802.html", "HTML")</f>
        <v/>
      </c>
      <c r="L3193">
        <f>HYPERLINK("https://raw.githubusercontent.com/marcosmapl/dataset_imigrantes/main/noticias_filtered/g1/venezuelanos/2013/04_mai/txt/g1_89ea388c-230f-11ed-b24f-6dbe51e79fca_2802.txt", "TXT")</f>
        <v/>
      </c>
    </row>
    <row r="3194">
      <c r="A3194" s="1" t="n">
        <v>3192</v>
      </c>
      <c r="B3194" t="n">
        <v>2013</v>
      </c>
      <c r="C3194" s="2" t="n">
        <v>41395.69791666666</v>
      </c>
      <c r="D3194" t="inlineStr">
        <is>
          <t>G1</t>
        </is>
      </c>
      <c r="E3194" t="inlineStr">
        <is>
          <t>VENEZUELANOS</t>
        </is>
      </c>
      <c r="F3194" t="inlineStr"/>
      <c r="G3194" t="inlineStr">
        <is>
          <t>CE PRESSE</t>
        </is>
      </c>
      <c r="H3194" t="inlineStr">
        <is>
          <t>OPOSIÇÃO VENEZUELANA IMPUGNARÁ RESULTADOS ELEITORAIS NA QUINTA</t>
        </is>
      </c>
      <c r="I3194" t="inlineStr"/>
      <c r="J3194">
        <f>HYPERLINK("http://g1.globo.com/mundo/noticia/2013/05/oposicao-venezuelana-impugnara-resultados-eleitorais-na-quinta.html", "URL")</f>
        <v/>
      </c>
      <c r="K3194">
        <f>HYPERLINK("https://raw.githubusercontent.com/marcosmapl/dataset_imigrantes/main/noticias_filtered/g1/venezuelanos/2013/04_mai/html/g1_26e45066-230e-11ed-b24f-6dbe51e79fca_2725.html", "HTML")</f>
        <v/>
      </c>
      <c r="L3194">
        <f>HYPERLINK("https://raw.githubusercontent.com/marcosmapl/dataset_imigrantes/main/noticias_filtered/g1/venezuelanos/2013/04_mai/txt/g1_26e45066-230e-11ed-b24f-6dbe51e79fca_2725.txt", "TXT")</f>
        <v/>
      </c>
    </row>
    <row r="3195">
      <c r="A3195" s="1" t="n">
        <v>3193</v>
      </c>
      <c r="B3195" t="n">
        <v>2013</v>
      </c>
      <c r="C3195" s="2" t="n">
        <v>41395.625</v>
      </c>
      <c r="D3195" t="inlineStr">
        <is>
          <t>G1</t>
        </is>
      </c>
      <c r="E3195" t="inlineStr">
        <is>
          <t>HAITIANOS</t>
        </is>
      </c>
      <c r="F3195" t="inlineStr"/>
      <c r="G3195" t="inlineStr">
        <is>
          <t>1, COM INFORMAÇÕES DA TV RONDÔNIA</t>
        </is>
      </c>
      <c r="H3195" t="inlineStr">
        <is>
          <t>HAITIANOS VIVEM A EXPECTATIVA DE CONSEGUIR EMPREGO EM RONDÔNIA</t>
        </is>
      </c>
      <c r="I3195" t="inlineStr"/>
      <c r="J3195">
        <f>HYPERLINK("http://g1.globo.com/ro/rondonia/noticia/2013/05/haitianos-vivem-expectativa-de-conseguir-emprego-em-rondonia.html", "URL")</f>
        <v/>
      </c>
      <c r="K3195">
        <f>HYPERLINK("https://raw.githubusercontent.com/marcosmapl/dataset_imigrantes/main/noticias_filtered/g1/haitianos/2013/04_mai/html/g1_8a6bb434-22ec-11ed-b24f-6dbe51e79fca_1660.html", "HTML")</f>
        <v/>
      </c>
      <c r="L3195">
        <f>HYPERLINK("https://raw.githubusercontent.com/marcosmapl/dataset_imigrantes/main/noticias_filtered/g1/haitianos/2013/04_mai/txt/g1_8a6bb434-22ec-11ed-b24f-6dbe51e79fca_1660.txt", "TXT")</f>
        <v/>
      </c>
    </row>
    <row r="3196">
      <c r="A3196" s="1" t="n">
        <v>3194</v>
      </c>
      <c r="B3196" t="n">
        <v>2013</v>
      </c>
      <c r="C3196" s="2" t="n">
        <v>41395.61041666667</v>
      </c>
      <c r="D3196" t="inlineStr">
        <is>
          <t>G1</t>
        </is>
      </c>
      <c r="E3196" t="inlineStr">
        <is>
          <t>VENEZUELANOS</t>
        </is>
      </c>
      <c r="F3196" t="inlineStr"/>
      <c r="G3196" t="inlineStr">
        <is>
          <t>RANCE PRESSE</t>
        </is>
      </c>
      <c r="H3196" t="inlineStr">
        <is>
          <t>OPOSIÇÃO VENEZUELANA VAI PEDIR IMPUGNAÇÃO DE RESULTADOS ELEITORAIS</t>
        </is>
      </c>
      <c r="I3196" t="inlineStr"/>
      <c r="J3196">
        <f>HYPERLINK("http://g1.globo.com/mundo/noticia/2013/05/capriles-oposicao-venezuelana-impugnara-resultados-eleitorais-na-quinta.html", "URL")</f>
        <v/>
      </c>
      <c r="K3196">
        <f>HYPERLINK("https://raw.githubusercontent.com/marcosmapl/dataset_imigrantes/main/noticias_filtered/g1/venezuelanos/2013/04_mai/html/g1_f7bfa6a6-2325-11ed-b24f-6dbe51e79fca_3946.html", "HTML")</f>
        <v/>
      </c>
      <c r="L3196">
        <f>HYPERLINK("https://raw.githubusercontent.com/marcosmapl/dataset_imigrantes/main/noticias_filtered/g1/venezuelanos/2013/04_mai/txt/g1_f7bfa6a6-2325-11ed-b24f-6dbe51e79fca_3946.txt", "TXT")</f>
        <v/>
      </c>
    </row>
    <row r="3197">
      <c r="A3197" s="1" t="n">
        <v>3195</v>
      </c>
      <c r="B3197" t="n">
        <v>2013</v>
      </c>
      <c r="C3197" s="2" t="n">
        <v>41395.53354166666</v>
      </c>
      <c r="D3197" t="inlineStr">
        <is>
          <t>A CRITICA</t>
        </is>
      </c>
      <c r="E3197" t="inlineStr">
        <is>
          <t>HAITIANOS</t>
        </is>
      </c>
      <c r="F3197" t="inlineStr"/>
      <c r="G3197" t="inlineStr">
        <is>
          <t>MARIANA LIMA</t>
        </is>
      </c>
      <c r="H3197" t="inlineStr">
        <is>
          <t>CÂMARA AUTORIZA ARTUR NETO A CONTRATAR ESTRANGEIROS NA PREFEITURA</t>
        </is>
      </c>
      <c r="I3197" t="inlineStr">
        <is>
          <t>O PROJETO DE LEI DE AUTORIA DO PRÓPRIO EXECUTIVO TEVE VOTAÇÃO FAVORÁVEL DOS VEREADORES DURANTE SESSÃO PLENÁRIA DE TERÇA-FEIRA (30)</t>
        </is>
      </c>
      <c r="J3197">
        <f>HYPERLINK("https://www.acritica.com/camara-autoriza-artur-neto-a-contratar-estrangeiros-na-prefeitura-1.115103", "URL")</f>
        <v/>
      </c>
      <c r="K3197">
        <f>HYPERLINK("https://raw.githubusercontent.com/marcosmapl/dataset_imigrantes/main/noticias_filtered/a_critica/haitianos/2013/04_mai/html/1.115103_412.html", "HTML")</f>
        <v/>
      </c>
      <c r="L3197">
        <f>HYPERLINK("https://raw.githubusercontent.com/marcosmapl/dataset_imigrantes/main/noticias_filtered/a_critica/haitianos/2013/04_mai/txt/1.115103_412.txt", "TXT")</f>
        <v/>
      </c>
    </row>
    <row r="3198">
      <c r="A3198" s="1" t="n">
        <v>3196</v>
      </c>
      <c r="B3198" t="n">
        <v>2013</v>
      </c>
      <c r="C3198" s="2" t="n">
        <v>41394.52777777778</v>
      </c>
      <c r="D3198" t="inlineStr">
        <is>
          <t>G1</t>
        </is>
      </c>
      <c r="E3198" t="inlineStr">
        <is>
          <t>HAITIANOS</t>
        </is>
      </c>
      <c r="F3198" t="inlineStr"/>
      <c r="G3198" t="inlineStr">
        <is>
          <t>1 RO COM INFORMAÇÕES DA TV RO</t>
        </is>
      </c>
      <c r="H3198" t="inlineStr">
        <is>
          <t>HAITIANOS ENFRENTAM DIFICULDADES NA HORA DE CONSEGUIR EMPREGO, EM RO</t>
        </is>
      </c>
      <c r="I3198" t="inlineStr"/>
      <c r="J3198">
        <f>HYPERLINK("http://g1.globo.com/ro/rondonia/noticia/2013/04/haitianos-enfrentam-dificuldades-na-hora-de-conseguir-emprego-em-ro.html", "URL")</f>
        <v/>
      </c>
      <c r="K3198">
        <f>HYPERLINK("https://raw.githubusercontent.com/marcosmapl/dataset_imigrantes/main/noticias_filtered/g1/haitianos/2013/03_abr/html/g1_cbdeec00-22f7-11ed-b24f-6dbe51e79fca_2096.html", "HTML")</f>
        <v/>
      </c>
      <c r="L3198">
        <f>HYPERLINK("https://raw.githubusercontent.com/marcosmapl/dataset_imigrantes/main/noticias_filtered/g1/haitianos/2013/03_abr/txt/g1_cbdeec00-22f7-11ed-b24f-6dbe51e79fca_2096.txt", "TXT")</f>
        <v/>
      </c>
    </row>
    <row r="3199">
      <c r="A3199" s="1" t="n">
        <v>3197</v>
      </c>
      <c r="B3199" t="n">
        <v>2013</v>
      </c>
      <c r="C3199" s="2" t="n">
        <v>41394.40416666667</v>
      </c>
      <c r="D3199" t="inlineStr">
        <is>
          <t>G1</t>
        </is>
      </c>
      <c r="E3199" t="inlineStr">
        <is>
          <t>HAITIANOS</t>
        </is>
      </c>
      <c r="F3199" t="inlineStr"/>
      <c r="G3199" t="inlineStr">
        <is>
          <t>ANA RIBEIRODO G1 AC</t>
        </is>
      </c>
      <c r="H3199" t="inlineStr">
        <is>
          <t>RESOLUÇÃO DEVE DIMINUIR NÚMERO DE HAITIANOS NO AC, ACREDITA SECRETÁRIO</t>
        </is>
      </c>
      <c r="I3199" t="inlineStr"/>
      <c r="J3199">
        <f>HYPERLINK("http://g1.globo.com/ac/acre/noticia/2013/04/resolucao-deve-diminuir-numero-de-haitianos-no-ac-acredita-secretario.html", "URL")</f>
        <v/>
      </c>
      <c r="K3199">
        <f>HYPERLINK("https://raw.githubusercontent.com/marcosmapl/dataset_imigrantes/main/noticias_filtered/g1/haitianos/2013/03_abr/html/g1_7d504032-22f4-11ed-b24f-6dbe51e79fca_1893.html", "HTML")</f>
        <v/>
      </c>
      <c r="L3199">
        <f>HYPERLINK("https://raw.githubusercontent.com/marcosmapl/dataset_imigrantes/main/noticias_filtered/g1/haitianos/2013/03_abr/txt/g1_7d504032-22f4-11ed-b24f-6dbe51e79fca_1893.txt", "TXT")</f>
        <v/>
      </c>
    </row>
    <row r="3200">
      <c r="A3200" s="1" t="n">
        <v>3198</v>
      </c>
      <c r="B3200" t="n">
        <v>2013</v>
      </c>
      <c r="C3200" s="2" t="n">
        <v>41393.85416666666</v>
      </c>
      <c r="D3200" t="inlineStr">
        <is>
          <t>G1</t>
        </is>
      </c>
      <c r="E3200" t="inlineStr">
        <is>
          <t>VENEZUELANOS</t>
        </is>
      </c>
      <c r="F3200" t="inlineStr"/>
      <c r="G3200" t="inlineStr">
        <is>
          <t>ERS</t>
        </is>
      </c>
      <c r="H3200" t="inlineStr">
        <is>
          <t>OPOSIÇÃO VENEZUELANA PREPARA PEDIDO DE IMPUGNAÇÃO DE RESULTADO ELEITORAL</t>
        </is>
      </c>
      <c r="I3200" t="inlineStr"/>
      <c r="J3200">
        <f>HYPERLINK("http://g1.globo.com/mundo/noticia/2013/04/oposicao-venezuelana-prepara-pedido-de-impugnacao-de-resultado-eleitoral.html", "URL")</f>
        <v/>
      </c>
      <c r="K3200">
        <f>HYPERLINK("https://raw.githubusercontent.com/marcosmapl/dataset_imigrantes/main/noticias_filtered/g1/venezuelanos/2013/03_abr/html/g1_e68e9e3a-2309-11ed-b24f-6dbe51e79fca_2472.html", "HTML")</f>
        <v/>
      </c>
      <c r="L3200">
        <f>HYPERLINK("https://raw.githubusercontent.com/marcosmapl/dataset_imigrantes/main/noticias_filtered/g1/venezuelanos/2013/03_abr/txt/g1_e68e9e3a-2309-11ed-b24f-6dbe51e79fca_2472.txt", "TXT")</f>
        <v/>
      </c>
    </row>
    <row r="3201">
      <c r="A3201" s="1" t="n">
        <v>3199</v>
      </c>
      <c r="B3201" t="n">
        <v>2013</v>
      </c>
      <c r="C3201" s="2" t="n">
        <v>41393.76961805556</v>
      </c>
      <c r="D3201" t="inlineStr">
        <is>
          <t>A CRITICA</t>
        </is>
      </c>
      <c r="E3201" t="inlineStr">
        <is>
          <t>HAITIANOS</t>
        </is>
      </c>
      <c r="F3201" t="inlineStr"/>
      <c r="G3201" t="inlineStr">
        <is>
          <t>MARCOS CHAGAS E RENATA GIRALDI/ AGÊNCIA BRASIL</t>
        </is>
      </c>
      <c r="H3201" t="inlineStr">
        <is>
          <t>GOVERNO FEDERAL ACABA COM LIMITE DE CONCESSÃO DE VISTOS A HAITIANOS</t>
        </is>
      </c>
      <c r="I3201" t="inlineStr">
        <is>
          <t>O TETO – UMA MÉDIA DE 100 POR MÊS – FOI INSTITUÍDO PELO GOVERNO EM 2012 PARA TENTAR CONTER A ENTRADA IRREGULAR DE IMIGRANTES HAITIANOS PELA FRONTEIRA DO ACRE COM A BOLÍVIA E O PERU</t>
        </is>
      </c>
      <c r="J3201">
        <f>HYPERLINK("https://www.acritica.com/governo-federal-acaba-com-limite-de-concess-o-de-vistos-a-haitianos-1.135233", "URL")</f>
        <v/>
      </c>
      <c r="K3201">
        <f>HYPERLINK("https://raw.githubusercontent.com/marcosmapl/dataset_imigrantes/main/noticias_filtered/a_critica/haitianos/2013/03_abr/html/1.135233_954.html", "HTML")</f>
        <v/>
      </c>
      <c r="L3201">
        <f>HYPERLINK("https://raw.githubusercontent.com/marcosmapl/dataset_imigrantes/main/noticias_filtered/a_critica/haitianos/2013/03_abr/txt/1.135233_954.txt", "TXT")</f>
        <v/>
      </c>
    </row>
    <row r="3202">
      <c r="A3202" s="1" t="n">
        <v>3200</v>
      </c>
      <c r="B3202" t="n">
        <v>2013</v>
      </c>
      <c r="C3202" s="2" t="n">
        <v>41393.76875</v>
      </c>
      <c r="D3202" t="inlineStr">
        <is>
          <t>G1</t>
        </is>
      </c>
      <c r="E3202" t="inlineStr">
        <is>
          <t>HAITIANOS</t>
        </is>
      </c>
      <c r="F3202" t="inlineStr"/>
      <c r="G3202" t="inlineStr">
        <is>
          <t>1, EM BRASÍLIA</t>
        </is>
      </c>
      <c r="H3202" t="inlineStr">
        <is>
          <t>GOVERNO ACABA COM LIMITE DE VISTOS CONCEDIDOS AOS HAITIANOS</t>
        </is>
      </c>
      <c r="I3202" t="inlineStr"/>
      <c r="J3202">
        <f>HYPERLINK("http://g1.globo.com/politica/noticia/2013/04/governo-acaba-com-limite-de-vistos-concedidos-aos-haitianos.html", "URL")</f>
        <v/>
      </c>
      <c r="K3202">
        <f>HYPERLINK("https://raw.githubusercontent.com/marcosmapl/dataset_imigrantes/main/noticias_filtered/g1/haitianos/2013/03_abr/html/g1_05997e8e-22f7-11ed-b24f-6dbe51e79fca_2053.html", "HTML")</f>
        <v/>
      </c>
      <c r="L3202">
        <f>HYPERLINK("https://raw.githubusercontent.com/marcosmapl/dataset_imigrantes/main/noticias_filtered/g1/haitianos/2013/03_abr/txt/g1_05997e8e-22f7-11ed-b24f-6dbe51e79fca_2053.txt", "TXT")</f>
        <v/>
      </c>
    </row>
    <row r="3203">
      <c r="A3203" s="1" t="n">
        <v>3201</v>
      </c>
      <c r="B3203" t="n">
        <v>2013</v>
      </c>
      <c r="C3203" s="2" t="n">
        <v>41393.44166666667</v>
      </c>
      <c r="D3203" t="inlineStr">
        <is>
          <t>G1</t>
        </is>
      </c>
      <c r="E3203" t="inlineStr">
        <is>
          <t>HAITIANOS</t>
        </is>
      </c>
      <c r="F3203" t="inlineStr"/>
      <c r="G3203" t="inlineStr">
        <is>
          <t>1 RO COM INFORMAÇÕES DA TV RO</t>
        </is>
      </c>
      <c r="H3203" t="inlineStr">
        <is>
          <t>HAITIANOS BUSCAM EM RO MELHORES CONDIÇÕES DE VIDA, APÓS TERREMOTO</t>
        </is>
      </c>
      <c r="I3203" t="inlineStr"/>
      <c r="J3203">
        <f>HYPERLINK("http://g1.globo.com/ro/rondonia/noticia/2013/04/haitianos-buscam-em-ro-melhores-condicoes-de-vida-apos-terremoto.html", "URL")</f>
        <v/>
      </c>
      <c r="K3203">
        <f>HYPERLINK("https://raw.githubusercontent.com/marcosmapl/dataset_imigrantes/main/noticias_filtered/g1/haitianos/2013/03_abr/html/g1_e9c5d86c-22f4-11ed-b24f-6dbe51e79fca_1919.html", "HTML")</f>
        <v/>
      </c>
      <c r="L3203">
        <f>HYPERLINK("https://raw.githubusercontent.com/marcosmapl/dataset_imigrantes/main/noticias_filtered/g1/haitianos/2013/03_abr/txt/g1_e9c5d86c-22f4-11ed-b24f-6dbe51e79fca_1919.txt", "TXT")</f>
        <v/>
      </c>
    </row>
    <row r="3204">
      <c r="A3204" s="1" t="n">
        <v>3202</v>
      </c>
      <c r="B3204" t="n">
        <v>2013</v>
      </c>
      <c r="C3204" s="2" t="n">
        <v>41390.825</v>
      </c>
      <c r="D3204" t="inlineStr">
        <is>
          <t>G1</t>
        </is>
      </c>
      <c r="E3204" t="inlineStr">
        <is>
          <t>VENEZUELANOS</t>
        </is>
      </c>
      <c r="F3204" t="inlineStr"/>
      <c r="G3204" t="inlineStr">
        <is>
          <t>CE PRESSE</t>
        </is>
      </c>
      <c r="H3204" t="inlineStr">
        <is>
          <t>OPOSIÇÃO VENEZUELANA ESPERA AUDITORIA DE ELEIÇÕES E PREPARA IMPUGNAÇÃO</t>
        </is>
      </c>
      <c r="I3204" t="inlineStr"/>
      <c r="J3204">
        <f>HYPERLINK("http://g1.globo.com/mundo/noticia/2013/04/oposicao-venezuelana-espera-auditoria-de-eleicoes-e-prepara-impugnacao-1.html", "URL")</f>
        <v/>
      </c>
      <c r="K3204">
        <f>HYPERLINK("https://raw.githubusercontent.com/marcosmapl/dataset_imigrantes/main/noticias_filtered/g1/venezuelanos/2013/03_abr/html/g1_de39496c-231b-11ed-b24f-6dbe51e79fca_3412.html", "HTML")</f>
        <v/>
      </c>
      <c r="L3204">
        <f>HYPERLINK("https://raw.githubusercontent.com/marcosmapl/dataset_imigrantes/main/noticias_filtered/g1/venezuelanos/2013/03_abr/txt/g1_de39496c-231b-11ed-b24f-6dbe51e79fca_3412.txt", "TXT")</f>
        <v/>
      </c>
    </row>
    <row r="3205">
      <c r="A3205" s="1" t="n">
        <v>3203</v>
      </c>
      <c r="B3205" t="n">
        <v>2013</v>
      </c>
      <c r="C3205" s="2" t="n">
        <v>41390.72459490741</v>
      </c>
      <c r="D3205" t="inlineStr">
        <is>
          <t>A CRITICA</t>
        </is>
      </c>
      <c r="E3205" t="inlineStr">
        <is>
          <t>VENEZUELANOS</t>
        </is>
      </c>
      <c r="F3205" t="inlineStr"/>
      <c r="G3205" t="inlineStr">
        <is>
          <t>ACRÍTICA.COM</t>
        </is>
      </c>
      <c r="H3205" t="inlineStr">
        <is>
          <t>POLÍTICOS DO AM DISCUTEM EXTORSÃO DE POLICIAIS VENEZUELANOS DURANTE AUDIÊNCIA EM RORAIMA</t>
        </is>
      </c>
      <c r="I3205" t="inlineStr">
        <is>
          <t>NOVA AUDIÊNCIA PÚBLICA ENVOLVENDO DEPUTADOS FEDERAIS DOS DOIS ESTADOS E REPRESENTANTES DA VENEZUELA ESTÁ PREVISTA PARA ACONTECER AINDA ESTE ANO. EM FEVEREIRO, O JORNAL A CRÍTICA PUBLICOU UMA REPORTAGEM DENUNCIANDO O PROBLEMA VIVENCIADO POR TURISTAS BRASILEIROS</t>
        </is>
      </c>
      <c r="J3205">
        <f>HYPERLINK("https://www.acritica.com/politicos-do-am-discutem-extors-o-de-policiais-venezuelanos-durante-audiencia-em-roraima-1.133077", "URL")</f>
        <v/>
      </c>
      <c r="K3205">
        <f>HYPERLINK("https://raw.githubusercontent.com/marcosmapl/dataset_imigrantes/main/noticias_filtered/a_critica/venezuelanos/2013/03_abr/html/1.133077_1280.html", "HTML")</f>
        <v/>
      </c>
      <c r="L3205">
        <f>HYPERLINK("https://raw.githubusercontent.com/marcosmapl/dataset_imigrantes/main/noticias_filtered/a_critica/venezuelanos/2013/03_abr/txt/1.133077_1280.txt", "TXT")</f>
        <v/>
      </c>
    </row>
    <row r="3206">
      <c r="A3206" s="1" t="n">
        <v>3204</v>
      </c>
      <c r="B3206" t="n">
        <v>2013</v>
      </c>
      <c r="C3206" s="2" t="n">
        <v>41390.69375</v>
      </c>
      <c r="D3206" t="inlineStr">
        <is>
          <t>G1</t>
        </is>
      </c>
      <c r="E3206" t="inlineStr">
        <is>
          <t>VENEZUELANOS</t>
        </is>
      </c>
      <c r="F3206" t="inlineStr"/>
      <c r="G3206" t="inlineStr">
        <is>
          <t>CE PRESSE</t>
        </is>
      </c>
      <c r="H3206" t="inlineStr">
        <is>
          <t>OPOSIÇÃO VENEZUELANA ESPERA AUDITORIA DE ELEIÇÕES E PREPARA IMPUGNAÇÃO</t>
        </is>
      </c>
      <c r="I3206" t="inlineStr"/>
      <c r="J3206">
        <f>HYPERLINK("http://g1.globo.com/mundo/noticia/2013/04/oposicao-venezuelana-espera-auditoria-de-eleicoes-e-prepara-impugnacao.html", "URL")</f>
        <v/>
      </c>
      <c r="K3206">
        <f>HYPERLINK("https://raw.githubusercontent.com/marcosmapl/dataset_imigrantes/main/noticias_filtered/g1/venezuelanos/2013/03_abr/html/g1_78445584-2311-11ed-b24f-6dbe51e79fca_2916.html", "HTML")</f>
        <v/>
      </c>
      <c r="L3206">
        <f>HYPERLINK("https://raw.githubusercontent.com/marcosmapl/dataset_imigrantes/main/noticias_filtered/g1/venezuelanos/2013/03_abr/txt/g1_78445584-2311-11ed-b24f-6dbe51e79fca_2916.txt", "TXT")</f>
        <v/>
      </c>
    </row>
    <row r="3207">
      <c r="A3207" s="1" t="n">
        <v>3205</v>
      </c>
      <c r="B3207" t="n">
        <v>2013</v>
      </c>
      <c r="C3207" s="2" t="n">
        <v>41390.3125</v>
      </c>
      <c r="D3207" t="inlineStr">
        <is>
          <t>G1</t>
        </is>
      </c>
      <c r="E3207" t="inlineStr">
        <is>
          <t>VENEZUELANOS</t>
        </is>
      </c>
      <c r="F3207" t="inlineStr"/>
      <c r="G3207" t="inlineStr">
        <is>
          <t>ERS</t>
        </is>
      </c>
      <c r="H3207" t="inlineStr">
        <is>
          <t>CAPRILES VAI CONTESTAR NA JUSTIÇA RESULTADO DE ELEIÇÃO VENEZUELANA</t>
        </is>
      </c>
      <c r="I3207" t="inlineStr"/>
      <c r="J3207">
        <f>HYPERLINK("http://g1.globo.com/mundo/noticia/2013/04/capriles-vai-contestar-na-justica-resultado-de-eleicao-venezuelana.html", "URL")</f>
        <v/>
      </c>
      <c r="K3207">
        <f>HYPERLINK("https://raw.githubusercontent.com/marcosmapl/dataset_imigrantes/main/noticias_filtered/g1/venezuelanos/2013/03_abr/html/g1_ddc159c8-2313-11ed-b24f-6dbe51e79fca_3031.html", "HTML")</f>
        <v/>
      </c>
      <c r="L3207">
        <f>HYPERLINK("https://raw.githubusercontent.com/marcosmapl/dataset_imigrantes/main/noticias_filtered/g1/venezuelanos/2013/03_abr/txt/g1_ddc159c8-2313-11ed-b24f-6dbe51e79fca_3031.txt", "TXT")</f>
        <v/>
      </c>
    </row>
    <row r="3208">
      <c r="A3208" s="1" t="n">
        <v>3206</v>
      </c>
      <c r="B3208" t="n">
        <v>2013</v>
      </c>
      <c r="C3208" s="2" t="n">
        <v>41389.4375</v>
      </c>
      <c r="D3208" t="inlineStr">
        <is>
          <t>G1</t>
        </is>
      </c>
      <c r="E3208" t="inlineStr">
        <is>
          <t>HAITIANOS</t>
        </is>
      </c>
      <c r="F3208" t="inlineStr"/>
      <c r="G3208" t="inlineStr">
        <is>
          <t>1 AC</t>
        </is>
      </c>
      <c r="H3208" t="inlineStr">
        <is>
          <t>HAITIANOS ESCOLHEM O ACRE PARA REFAZER A VIDA</t>
        </is>
      </c>
      <c r="I3208" t="inlineStr"/>
      <c r="J3208">
        <f>HYPERLINK("http://g1.globo.com/ac/acre/noticia/2013/04/haitianos-escolhem-o-acre-para-refazer-vida.html", "URL")</f>
        <v/>
      </c>
      <c r="K3208">
        <f>HYPERLINK("https://raw.githubusercontent.com/marcosmapl/dataset_imigrantes/main/noticias_filtered/g1/haitianos/2013/03_abr/html/g1_59d8ccf2-22f2-11ed-b24f-6dbe51e79fca_1792.html", "HTML")</f>
        <v/>
      </c>
      <c r="L3208">
        <f>HYPERLINK("https://raw.githubusercontent.com/marcosmapl/dataset_imigrantes/main/noticias_filtered/g1/haitianos/2013/03_abr/txt/g1_59d8ccf2-22f2-11ed-b24f-6dbe51e79fca_1792.txt", "TXT")</f>
        <v/>
      </c>
    </row>
    <row r="3209">
      <c r="A3209" s="1" t="n">
        <v>3207</v>
      </c>
      <c r="B3209" t="n">
        <v>2013</v>
      </c>
      <c r="C3209" s="2" t="n">
        <v>41388.78958333333</v>
      </c>
      <c r="D3209" t="inlineStr">
        <is>
          <t>G1</t>
        </is>
      </c>
      <c r="E3209" t="inlineStr">
        <is>
          <t>VENEZUELANOS</t>
        </is>
      </c>
      <c r="F3209" t="inlineStr"/>
      <c r="G3209" t="inlineStr">
        <is>
          <t>EUTERS</t>
        </is>
      </c>
      <c r="H3209" t="inlineStr">
        <is>
          <t>COMISSÃO PARLAMENTAR VENEZUELANA VAI INVESTIGAR HENRIQUE CAPRILES</t>
        </is>
      </c>
      <c r="I3209" t="inlineStr"/>
      <c r="J3209">
        <f>HYPERLINK("http://g1.globo.com/mundo/noticia/2013/04/comissao-parlamentar-venezuelana-vai-investigar-capriles.html", "URL")</f>
        <v/>
      </c>
      <c r="K3209">
        <f>HYPERLINK("https://raw.githubusercontent.com/marcosmapl/dataset_imigrantes/main/noticias_filtered/g1/venezuelanos/2013/03_abr/html/g1_d9c5b2de-230d-11ed-b24f-6dbe51e79fca_2709.html", "HTML")</f>
        <v/>
      </c>
      <c r="L3209">
        <f>HYPERLINK("https://raw.githubusercontent.com/marcosmapl/dataset_imigrantes/main/noticias_filtered/g1/venezuelanos/2013/03_abr/txt/g1_d9c5b2de-230d-11ed-b24f-6dbe51e79fca_2709.txt", "TXT")</f>
        <v/>
      </c>
    </row>
    <row r="3210">
      <c r="A3210" s="1" t="n">
        <v>3208</v>
      </c>
      <c r="B3210" t="n">
        <v>2013</v>
      </c>
      <c r="C3210" s="2" t="n">
        <v>41388.78958333333</v>
      </c>
      <c r="D3210" t="inlineStr">
        <is>
          <t>G1</t>
        </is>
      </c>
      <c r="E3210" t="inlineStr">
        <is>
          <t>VENEZUELANOS</t>
        </is>
      </c>
      <c r="F3210" t="inlineStr"/>
      <c r="G3210" t="inlineStr">
        <is>
          <t>ERS</t>
        </is>
      </c>
      <c r="H3210" t="inlineStr">
        <is>
          <t>COMISSÃO PARLAMENTAR VENEZUELANA VAI INVESTIGAR CAPRILES</t>
        </is>
      </c>
      <c r="I3210" t="inlineStr"/>
      <c r="J3210">
        <f>HYPERLINK("http://g1.globo.com/mundo/noticia/2013/04/comissao-parlamentar-venezuelana-vai-investigar-capriles-1.html", "URL")</f>
        <v/>
      </c>
      <c r="K3210">
        <f>HYPERLINK("https://raw.githubusercontent.com/marcosmapl/dataset_imigrantes/main/noticias_filtered/g1/venezuelanos/2013/03_abr/html/g1_5d51a528-232b-11ed-b24f-6dbe51e79fca_4241.html", "HTML")</f>
        <v/>
      </c>
      <c r="L3210">
        <f>HYPERLINK("https://raw.githubusercontent.com/marcosmapl/dataset_imigrantes/main/noticias_filtered/g1/venezuelanos/2013/03_abr/txt/g1_5d51a528-232b-11ed-b24f-6dbe51e79fca_4241.txt", "TXT")</f>
        <v/>
      </c>
    </row>
    <row r="3211">
      <c r="A3211" s="1" t="n">
        <v>3209</v>
      </c>
      <c r="B3211" t="n">
        <v>2013</v>
      </c>
      <c r="C3211" s="2" t="n">
        <v>41388.7375</v>
      </c>
      <c r="D3211" t="inlineStr">
        <is>
          <t>G1</t>
        </is>
      </c>
      <c r="E3211" t="inlineStr">
        <is>
          <t>VENEZUELANOS</t>
        </is>
      </c>
      <c r="F3211" t="inlineStr"/>
      <c r="G3211" t="inlineStr">
        <is>
          <t>ERS</t>
        </is>
      </c>
      <c r="H3211" t="inlineStr">
        <is>
          <t>OPOSIÇÃO VENEZUELANA ACUSA GOVERNO DE VINGANÇA PÓS-ELEITORAL</t>
        </is>
      </c>
      <c r="I3211" t="inlineStr"/>
      <c r="J3211">
        <f>HYPERLINK("http://g1.globo.com/mundo/noticia/2013/04/oposicao-venezuelana-acusa-governo-de-vinganca-pos-eleitoral.html", "URL")</f>
        <v/>
      </c>
      <c r="K3211">
        <f>HYPERLINK("https://raw.githubusercontent.com/marcosmapl/dataset_imigrantes/main/noticias_filtered/g1/venezuelanos/2013/03_abr/html/g1_08a8f9c4-2315-11ed-b24f-6dbe51e79fca_3063.html", "HTML")</f>
        <v/>
      </c>
      <c r="L3211">
        <f>HYPERLINK("https://raw.githubusercontent.com/marcosmapl/dataset_imigrantes/main/noticias_filtered/g1/venezuelanos/2013/03_abr/txt/g1_08a8f9c4-2315-11ed-b24f-6dbe51e79fca_3063.txt", "TXT")</f>
        <v/>
      </c>
    </row>
    <row r="3212">
      <c r="A3212" s="1" t="n">
        <v>3210</v>
      </c>
      <c r="B3212" t="n">
        <v>2013</v>
      </c>
      <c r="C3212" s="2" t="n">
        <v>41385.48125</v>
      </c>
      <c r="D3212" t="inlineStr">
        <is>
          <t>G1</t>
        </is>
      </c>
      <c r="E3212" t="inlineStr">
        <is>
          <t>HAITIANOS</t>
        </is>
      </c>
      <c r="F3212" t="inlineStr"/>
      <c r="G3212" t="inlineStr">
        <is>
          <t xml:space="preserve"> MARCELDO G1 AC</t>
        </is>
      </c>
      <c r="H3212" t="inlineStr">
        <is>
          <t>POSTO DO SINE COMEÇA A CADASTRAR IMIGRANTES NO INTERIOR DO ACRE</t>
        </is>
      </c>
      <c r="I3212" t="inlineStr"/>
      <c r="J3212">
        <f>HYPERLINK("http://g1.globo.com/ac/acre/noticia/2013/04/governo-ira-cadastrar-haitianos-no-sine-no-acre.html", "URL")</f>
        <v/>
      </c>
      <c r="K3212">
        <f>HYPERLINK("https://raw.githubusercontent.com/marcosmapl/dataset_imigrantes/main/noticias_filtered/g1/haitianos/2013/03_abr/html/g1_4d5a9ae2-230a-11ed-b24f-6dbe51e79fca_2496.html", "HTML")</f>
        <v/>
      </c>
      <c r="L3212">
        <f>HYPERLINK("https://raw.githubusercontent.com/marcosmapl/dataset_imigrantes/main/noticias_filtered/g1/haitianos/2013/03_abr/txt/g1_4d5a9ae2-230a-11ed-b24f-6dbe51e79fca_2496.txt", "TXT")</f>
        <v/>
      </c>
    </row>
    <row r="3213">
      <c r="A3213" s="1" t="n">
        <v>3211</v>
      </c>
      <c r="B3213" t="n">
        <v>2013</v>
      </c>
      <c r="C3213" s="2" t="n">
        <v>41385.29166666666</v>
      </c>
      <c r="D3213" t="inlineStr">
        <is>
          <t>G1</t>
        </is>
      </c>
      <c r="E3213" t="inlineStr">
        <is>
          <t>HAITIANOS</t>
        </is>
      </c>
      <c r="F3213" t="inlineStr"/>
      <c r="G3213" t="inlineStr">
        <is>
          <t>LA HENRIQUESDO G1 AM</t>
        </is>
      </c>
      <c r="H3213" t="inlineStr">
        <is>
          <t>SEM EMPREGO NO AMAZONAS, HAITIANOS BUSCAM OUTROS ESTADOS, DIZ PASTORAL</t>
        </is>
      </c>
      <c r="I3213" t="inlineStr"/>
      <c r="J3213">
        <f>HYPERLINK("http://g1.globo.com/am/amazonas/noticia/2013/04/sem-emprego-no-amazonas-haitianos-buscam-outros-estados-diz-pastoral.html", "URL")</f>
        <v/>
      </c>
      <c r="K3213">
        <f>HYPERLINK("https://raw.githubusercontent.com/marcosmapl/dataset_imigrantes/main/noticias_filtered/g1/haitianos/2013/03_abr/html/g1_a0b9081e-22f5-11ed-b24f-6dbe51e79fca_1963.html", "HTML")</f>
        <v/>
      </c>
      <c r="L3213">
        <f>HYPERLINK("https://raw.githubusercontent.com/marcosmapl/dataset_imigrantes/main/noticias_filtered/g1/haitianos/2013/03_abr/txt/g1_a0b9081e-22f5-11ed-b24f-6dbe51e79fca_1963.txt", "TXT")</f>
        <v/>
      </c>
    </row>
    <row r="3214">
      <c r="A3214" s="1" t="n">
        <v>3212</v>
      </c>
      <c r="B3214" t="n">
        <v>2013</v>
      </c>
      <c r="C3214" s="2" t="n">
        <v>41384.79375</v>
      </c>
      <c r="D3214" t="inlineStr">
        <is>
          <t>G1</t>
        </is>
      </c>
      <c r="E3214" t="inlineStr">
        <is>
          <t>VENEZUELANOS</t>
        </is>
      </c>
      <c r="F3214" t="inlineStr"/>
      <c r="G3214" t="inlineStr">
        <is>
          <t>FP</t>
        </is>
      </c>
      <c r="H3214" t="inlineStr">
        <is>
          <t>OPOSIÇÃO VENEZUELANA DENUNCIA PERSEGUIÇÕES E PRISÕES</t>
        </is>
      </c>
      <c r="I3214" t="inlineStr"/>
      <c r="J3214">
        <f>HYPERLINK("http://g1.globo.com/mundo/noticia/2013/04/oposicao-venezuelana-denuncia-perseguicoes-e-prisoes.html", "URL")</f>
        <v/>
      </c>
      <c r="K3214">
        <f>HYPERLINK("https://raw.githubusercontent.com/marcosmapl/dataset_imigrantes/main/noticias_filtered/g1/venezuelanos/2013/03_abr/html/g1_318c4fae-2314-11ed-b24f-6dbe51e79fca_3051.html", "HTML")</f>
        <v/>
      </c>
      <c r="L3214">
        <f>HYPERLINK("https://raw.githubusercontent.com/marcosmapl/dataset_imigrantes/main/noticias_filtered/g1/venezuelanos/2013/03_abr/txt/g1_318c4fae-2314-11ed-b24f-6dbe51e79fca_3051.txt", "TXT")</f>
        <v/>
      </c>
    </row>
    <row r="3215">
      <c r="A3215" s="1" t="n">
        <v>3213</v>
      </c>
      <c r="B3215" t="n">
        <v>2013</v>
      </c>
      <c r="C3215" s="2" t="n">
        <v>41383.72916666666</v>
      </c>
      <c r="D3215" t="inlineStr">
        <is>
          <t>G1</t>
        </is>
      </c>
      <c r="E3215" t="inlineStr">
        <is>
          <t>VENEZUELANOS</t>
        </is>
      </c>
      <c r="F3215" t="inlineStr"/>
      <c r="G3215" t="inlineStr">
        <is>
          <t>CE PRESSE</t>
        </is>
      </c>
      <c r="H3215" t="inlineStr">
        <is>
          <t>MADURO PEDE DIÁLOGO À OPOSIÇÃO VENEZUELANA</t>
        </is>
      </c>
      <c r="I3215" t="inlineStr"/>
      <c r="J3215">
        <f>HYPERLINK("http://g1.globo.com/mundo/noticia/2013/04/maduro-pede-dialogo-a-oposicao-venezuelana.html", "URL")</f>
        <v/>
      </c>
      <c r="K3215">
        <f>HYPERLINK("https://raw.githubusercontent.com/marcosmapl/dataset_imigrantes/main/noticias_filtered/g1/venezuelanos/2013/03_abr/html/g1_96939e6c-2318-11ed-b24f-6dbe51e79fca_3268.html", "HTML")</f>
        <v/>
      </c>
      <c r="L3215">
        <f>HYPERLINK("https://raw.githubusercontent.com/marcosmapl/dataset_imigrantes/main/noticias_filtered/g1/venezuelanos/2013/03_abr/txt/g1_96939e6c-2318-11ed-b24f-6dbe51e79fca_3268.txt", "TXT")</f>
        <v/>
      </c>
    </row>
    <row r="3216">
      <c r="A3216" s="1" t="n">
        <v>3214</v>
      </c>
      <c r="B3216" t="n">
        <v>2013</v>
      </c>
      <c r="C3216" s="2" t="n">
        <v>41383.58375</v>
      </c>
      <c r="D3216" t="inlineStr">
        <is>
          <t>A CRITICA</t>
        </is>
      </c>
      <c r="E3216" t="inlineStr">
        <is>
          <t>VENEZUELANOS</t>
        </is>
      </c>
      <c r="F3216" t="inlineStr">
        <is>
          <t>ENTRETENIMENTO</t>
        </is>
      </c>
      <c r="G3216" t="inlineStr">
        <is>
          <t>RAFAEL SEIXAS</t>
        </is>
      </c>
      <c r="H3216" t="inlineStr">
        <is>
          <t>CONFIRA ALGUMAS EMPRESAS QUE OFERECEM SERVIÇOS EM SUA CASA</t>
        </is>
      </c>
      <c r="I3216" t="inlineStr">
        <is>
          <t>AS EMPRESAS CONTAM COM UMA VARIEDADE DE BEBIDAS COMO CERVEJAS, VINHOS, WHISKIES, VODKAS E ESPUMANTES, ENTREGANDO EM DOMICÍLIO</t>
        </is>
      </c>
      <c r="J3216">
        <f>HYPERLINK("https://www.acritica.com/entretenimento/confira-algumas-empresas-que-oferecem-servicos-em-sua-casa-1.133804", "URL")</f>
        <v/>
      </c>
      <c r="K3216">
        <f>HYPERLINK("https://raw.githubusercontent.com/marcosmapl/dataset_imigrantes/main/noticias_filtered/a_critica/venezuelanos/2013/03_abr/html/1.133804_168.html", "HTML")</f>
        <v/>
      </c>
      <c r="L3216">
        <f>HYPERLINK("https://raw.githubusercontent.com/marcosmapl/dataset_imigrantes/main/noticias_filtered/a_critica/venezuelanos/2013/03_abr/txt/1.133804_168.txt", "TXT")</f>
        <v/>
      </c>
    </row>
    <row r="3217">
      <c r="A3217" s="1" t="n">
        <v>3215</v>
      </c>
      <c r="B3217" t="n">
        <v>2013</v>
      </c>
      <c r="C3217" s="2" t="n">
        <v>41383.45763888889</v>
      </c>
      <c r="D3217" t="inlineStr">
        <is>
          <t>G1</t>
        </is>
      </c>
      <c r="E3217" t="inlineStr">
        <is>
          <t>HAITIANOS</t>
        </is>
      </c>
      <c r="F3217" t="inlineStr"/>
      <c r="G3217" t="inlineStr">
        <is>
          <t xml:space="preserve"> MARCELDO G1 AC</t>
        </is>
      </c>
      <c r="H3217" t="inlineStr">
        <is>
          <t>MINISTÉRIO REPASSA R$ 784 MIL PARA ASSISTÊNCIA AOS HAITIANOS NO AC</t>
        </is>
      </c>
      <c r="I3217" t="inlineStr"/>
      <c r="J3217">
        <f>HYPERLINK("http://g1.globo.com/ac/acre/noticia/2013/04/ministerio-repassa-r-784-mil-para-assistencia-aos-haitianos-no-ac.html", "URL")</f>
        <v/>
      </c>
      <c r="K3217">
        <f>HYPERLINK("https://raw.githubusercontent.com/marcosmapl/dataset_imigrantes/main/noticias_filtered/g1/haitianos/2013/03_abr/html/g1_3d7975d4-22f2-11ed-b24f-6dbe51e79fca_1786.html", "HTML")</f>
        <v/>
      </c>
      <c r="L3217">
        <f>HYPERLINK("https://raw.githubusercontent.com/marcosmapl/dataset_imigrantes/main/noticias_filtered/g1/haitianos/2013/03_abr/txt/g1_3d7975d4-22f2-11ed-b24f-6dbe51e79fca_1786.txt", "TXT")</f>
        <v/>
      </c>
    </row>
    <row r="3218">
      <c r="A3218" s="1" t="n">
        <v>3216</v>
      </c>
      <c r="B3218" t="n">
        <v>2013</v>
      </c>
      <c r="C3218" s="2" t="n">
        <v>41382.75347222222</v>
      </c>
      <c r="D3218" t="inlineStr">
        <is>
          <t>G1</t>
        </is>
      </c>
      <c r="E3218" t="inlineStr">
        <is>
          <t>HAITIANOS</t>
        </is>
      </c>
      <c r="F3218" t="inlineStr"/>
      <c r="G3218" t="inlineStr">
        <is>
          <t>1 NORTE FLUMINENSE</t>
        </is>
      </c>
      <c r="H3218" t="inlineStr">
        <is>
          <t>OPERÁRIO HAITIANO CAI DE ANDAIME DE 10 METROS NO AEROPORTO DE MACAÉ, RJ</t>
        </is>
      </c>
      <c r="I3218" t="inlineStr"/>
      <c r="J3218">
        <f>HYPERLINK("http://g1.globo.com/rj/serra-lagos-norte/noticia/2013/04/operario-haitiano-cai-de-andaime-de-10-metros-no-aeroporto-de-macae-rj.html", "URL")</f>
        <v/>
      </c>
      <c r="K3218">
        <f>HYPERLINK("https://raw.githubusercontent.com/marcosmapl/dataset_imigrantes/main/noticias_filtered/g1/haitianos/2013/03_abr/html/g1_6c8d3ec8-2306-11ed-b24f-6dbe51e79fca_2258.html", "HTML")</f>
        <v/>
      </c>
      <c r="L3218">
        <f>HYPERLINK("https://raw.githubusercontent.com/marcosmapl/dataset_imigrantes/main/noticias_filtered/g1/haitianos/2013/03_abr/txt/g1_6c8d3ec8-2306-11ed-b24f-6dbe51e79fca_2258.txt", "TXT")</f>
        <v/>
      </c>
    </row>
    <row r="3219">
      <c r="A3219" s="1" t="n">
        <v>3217</v>
      </c>
      <c r="B3219" t="n">
        <v>2013</v>
      </c>
      <c r="C3219" s="2" t="n">
        <v>41381.95555555556</v>
      </c>
      <c r="D3219" t="inlineStr">
        <is>
          <t>G1</t>
        </is>
      </c>
      <c r="E3219" t="inlineStr">
        <is>
          <t>HAITIANOS</t>
        </is>
      </c>
      <c r="F3219" t="inlineStr"/>
      <c r="G3219" t="inlineStr">
        <is>
          <t>1 AC</t>
        </is>
      </c>
      <c r="H3219" t="inlineStr">
        <is>
          <t>SITUAÇÃO DE HAITIANOS EM BRASILÉIA É REGULARIZADA</t>
        </is>
      </c>
      <c r="I3219" t="inlineStr"/>
      <c r="J3219">
        <f>HYPERLINK("http://g1.globo.com/ac/acre/noticia/2013/04/forca-tarefa-regulariza-situacao-de-todos-os-haitianos-que-estao-no-ac.html", "URL")</f>
        <v/>
      </c>
      <c r="K3219">
        <f>HYPERLINK("https://raw.githubusercontent.com/marcosmapl/dataset_imigrantes/main/noticias_filtered/g1/haitianos/2013/03_abr/html/g1_0c706ba4-22f8-11ed-b24f-6dbe51e79fca_2113.html", "HTML")</f>
        <v/>
      </c>
      <c r="L3219">
        <f>HYPERLINK("https://raw.githubusercontent.com/marcosmapl/dataset_imigrantes/main/noticias_filtered/g1/haitianos/2013/03_abr/txt/g1_0c706ba4-22f8-11ed-b24f-6dbe51e79fca_2113.txt", "TXT")</f>
        <v/>
      </c>
    </row>
    <row r="3220">
      <c r="A3220" s="1" t="n">
        <v>3218</v>
      </c>
      <c r="B3220" t="n">
        <v>2013</v>
      </c>
      <c r="C3220" s="2" t="n">
        <v>41380.94375</v>
      </c>
      <c r="D3220" t="inlineStr">
        <is>
          <t>G1</t>
        </is>
      </c>
      <c r="E3220" t="inlineStr">
        <is>
          <t>VENEZUELANOS</t>
        </is>
      </c>
      <c r="F3220" t="inlineStr"/>
      <c r="G3220" t="inlineStr">
        <is>
          <t>CE PRESSE</t>
        </is>
      </c>
      <c r="H3220" t="inlineStr">
        <is>
          <t>PRINCIPAIS IRREGULARIDADES DENUNCIADAS POR CAPRILES NAS ELEIÇÕES VENEZUELANAS</t>
        </is>
      </c>
      <c r="I3220" t="inlineStr"/>
      <c r="J3220">
        <f>HYPERLINK("http://g1.globo.com/mundo/noticia/2013/04/principais-irregularidades-denunciadas-por-capriles-nas-eleicoes-venezuelanas.html", "URL")</f>
        <v/>
      </c>
      <c r="K3220">
        <f>HYPERLINK("https://raw.githubusercontent.com/marcosmapl/dataset_imigrantes/main/noticias_filtered/g1/venezuelanos/2013/03_abr/html/g1_691121ea-2312-11ed-b24f-6dbe51e79fca_2966.html", "HTML")</f>
        <v/>
      </c>
      <c r="L3220">
        <f>HYPERLINK("https://raw.githubusercontent.com/marcosmapl/dataset_imigrantes/main/noticias_filtered/g1/venezuelanos/2013/03_abr/txt/g1_691121ea-2312-11ed-b24f-6dbe51e79fca_2966.txt", "TXT")</f>
        <v/>
      </c>
    </row>
    <row r="3221">
      <c r="A3221" s="1" t="n">
        <v>3219</v>
      </c>
      <c r="B3221" t="n">
        <v>2013</v>
      </c>
      <c r="C3221" s="2" t="n">
        <v>41380.79930555556</v>
      </c>
      <c r="D3221" t="inlineStr">
        <is>
          <t>G1</t>
        </is>
      </c>
      <c r="E3221" t="inlineStr">
        <is>
          <t>HAITIANOS</t>
        </is>
      </c>
      <c r="F3221" t="inlineStr"/>
      <c r="G3221" t="inlineStr">
        <is>
          <t>1 MT</t>
        </is>
      </c>
      <c r="H3221" t="inlineStr">
        <is>
          <t>COPA DE 2014 GERA AUMENTO NA OFERTA DE EMPREGO E ATRAI HAITIANOS A CUIABÁ</t>
        </is>
      </c>
      <c r="I3221" t="inlineStr"/>
      <c r="J3221">
        <f>HYPERLINK("http://g1.globo.com/mato-grosso/noticia/2013/04/copa-de-2014-gera-aumento-na-oferta-de-emprego-e-atrai-haitianos-cuiaba.html", "URL")</f>
        <v/>
      </c>
      <c r="K3221">
        <f>HYPERLINK("https://raw.githubusercontent.com/marcosmapl/dataset_imigrantes/main/noticias_filtered/g1/haitianos/2013/03_abr/html/g1_ecd221a4-22fa-11ed-b24f-6dbe51e79fca_2251.html", "HTML")</f>
        <v/>
      </c>
      <c r="L3221">
        <f>HYPERLINK("https://raw.githubusercontent.com/marcosmapl/dataset_imigrantes/main/noticias_filtered/g1/haitianos/2013/03_abr/txt/g1_ecd221a4-22fa-11ed-b24f-6dbe51e79fca_2251.txt", "TXT")</f>
        <v/>
      </c>
    </row>
    <row r="3222">
      <c r="A3222" s="1" t="n">
        <v>3220</v>
      </c>
      <c r="B3222" t="n">
        <v>2013</v>
      </c>
      <c r="C3222" s="2" t="n">
        <v>41380.68819444445</v>
      </c>
      <c r="D3222" t="inlineStr">
        <is>
          <t>G1</t>
        </is>
      </c>
      <c r="E3222" t="inlineStr">
        <is>
          <t>HAITIANOS</t>
        </is>
      </c>
      <c r="F3222" t="inlineStr"/>
      <c r="G3222" t="inlineStr">
        <is>
          <t>ANA RIBEIRODO G1 AC</t>
        </is>
      </c>
      <c r="H3222" t="inlineStr">
        <is>
          <t>DSTS NÃO SÃO FREQUENTES EM HAITIANOS, DIZ COORDENADOR DE SAÚDE</t>
        </is>
      </c>
      <c r="I3222" t="inlineStr"/>
      <c r="J3222">
        <f>HYPERLINK("http://g1.globo.com/ac/acre/noticia/2013/04/dsts-nao-sao-frequentes-em-haitianos-diz-coordenador-de-saude.html", "URL")</f>
        <v/>
      </c>
      <c r="K3222">
        <f>HYPERLINK("https://raw.githubusercontent.com/marcosmapl/dataset_imigrantes/main/noticias_filtered/g1/haitianos/2013/03_abr/html/g1_f7b94e5a-22f3-11ed-b24f-6dbe51e79fca_1867.html", "HTML")</f>
        <v/>
      </c>
      <c r="L3222">
        <f>HYPERLINK("https://raw.githubusercontent.com/marcosmapl/dataset_imigrantes/main/noticias_filtered/g1/haitianos/2013/03_abr/txt/g1_f7b94e5a-22f3-11ed-b24f-6dbe51e79fca_1867.txt", "TXT")</f>
        <v/>
      </c>
    </row>
    <row r="3223">
      <c r="A3223" s="1" t="n">
        <v>3221</v>
      </c>
      <c r="B3223" t="n">
        <v>2013</v>
      </c>
      <c r="C3223" s="2" t="n">
        <v>41379.82083333333</v>
      </c>
      <c r="D3223" t="inlineStr">
        <is>
          <t>G1</t>
        </is>
      </c>
      <c r="E3223" t="inlineStr">
        <is>
          <t>VENEZUELANOS</t>
        </is>
      </c>
      <c r="F3223" t="inlineStr"/>
      <c r="G3223" t="inlineStr">
        <is>
          <t>CE PRESSE</t>
        </is>
      </c>
      <c r="H3223" t="inlineStr">
        <is>
          <t>MADURO ACUSA OPOSIÇÃO VENEZUELANA DE 'GOLPISMO'</t>
        </is>
      </c>
      <c r="I3223" t="inlineStr"/>
      <c r="J3223">
        <f>HYPERLINK("http://g1.globo.com/mundo/noticia/2013/04/maduro-acusa-oposicao-venezuelana-de-golpismo-2.html", "URL")</f>
        <v/>
      </c>
      <c r="K3223">
        <f>HYPERLINK("https://raw.githubusercontent.com/marcosmapl/dataset_imigrantes/main/noticias_filtered/g1/venezuelanos/2013/03_abr/html/g1_71733d86-2327-11ed-b24f-6dbe51e79fca_4035.html", "HTML")</f>
        <v/>
      </c>
      <c r="L3223">
        <f>HYPERLINK("https://raw.githubusercontent.com/marcosmapl/dataset_imigrantes/main/noticias_filtered/g1/venezuelanos/2013/03_abr/txt/g1_71733d86-2327-11ed-b24f-6dbe51e79fca_4035.txt", "TXT")</f>
        <v/>
      </c>
    </row>
    <row r="3224">
      <c r="A3224" s="1" t="n">
        <v>3222</v>
      </c>
      <c r="B3224" t="n">
        <v>2013</v>
      </c>
      <c r="C3224" s="2" t="n">
        <v>41379.81458333333</v>
      </c>
      <c r="D3224" t="inlineStr">
        <is>
          <t>G1</t>
        </is>
      </c>
      <c r="E3224" t="inlineStr">
        <is>
          <t>VENEZUELANOS</t>
        </is>
      </c>
      <c r="F3224" t="inlineStr"/>
      <c r="G3224" t="inlineStr">
        <is>
          <t>CE PRESSE</t>
        </is>
      </c>
      <c r="H3224" t="inlineStr">
        <is>
          <t>MADURO ACUSA OPOSIÇÃO VENEZUELANA DE 'GOLPISMO'</t>
        </is>
      </c>
      <c r="I3224" t="inlineStr"/>
      <c r="J3224">
        <f>HYPERLINK("http://g1.globo.com/mundo/noticia/2013/04/maduro-acusa-oposicao-venezuelana-de-golpismo-1.html", "URL")</f>
        <v/>
      </c>
      <c r="K3224">
        <f>HYPERLINK("https://raw.githubusercontent.com/marcosmapl/dataset_imigrantes/main/noticias_filtered/g1/venezuelanos/2013/03_abr/html/g1_3e1a7bc4-2328-11ed-b24f-6dbe51e79fca_4069.html", "HTML")</f>
        <v/>
      </c>
      <c r="L3224">
        <f>HYPERLINK("https://raw.githubusercontent.com/marcosmapl/dataset_imigrantes/main/noticias_filtered/g1/venezuelanos/2013/03_abr/txt/g1_3e1a7bc4-2328-11ed-b24f-6dbe51e79fca_4069.txt", "TXT")</f>
        <v/>
      </c>
    </row>
    <row r="3225">
      <c r="A3225" s="1" t="n">
        <v>3223</v>
      </c>
      <c r="B3225" t="n">
        <v>2013</v>
      </c>
      <c r="C3225" s="2" t="n">
        <v>41379.80833333333</v>
      </c>
      <c r="D3225" t="inlineStr">
        <is>
          <t>G1</t>
        </is>
      </c>
      <c r="E3225" t="inlineStr">
        <is>
          <t>VENEZUELANOS</t>
        </is>
      </c>
      <c r="F3225" t="inlineStr"/>
      <c r="G3225" t="inlineStr">
        <is>
          <t>CE PRESSE</t>
        </is>
      </c>
      <c r="H3225" t="inlineStr">
        <is>
          <t>MADURO ACUSA OPOSIÇÃO VENEZUELANA DE 'GOLPISMO'</t>
        </is>
      </c>
      <c r="I3225" t="inlineStr"/>
      <c r="J3225">
        <f>HYPERLINK("http://g1.globo.com/mundo/noticia/2013/04/maduro-acusa-oposicao-venezuelana-de-golpismo.html", "URL")</f>
        <v/>
      </c>
      <c r="K3225">
        <f>HYPERLINK("https://raw.githubusercontent.com/marcosmapl/dataset_imigrantes/main/noticias_filtered/g1/venezuelanos/2013/03_abr/html/g1_e687f324-2312-11ed-b24f-6dbe51e79fca_2982.html", "HTML")</f>
        <v/>
      </c>
      <c r="L3225">
        <f>HYPERLINK("https://raw.githubusercontent.com/marcosmapl/dataset_imigrantes/main/noticias_filtered/g1/venezuelanos/2013/03_abr/txt/g1_e687f324-2312-11ed-b24f-6dbe51e79fca_2982.txt", "TXT")</f>
        <v/>
      </c>
    </row>
    <row r="3226">
      <c r="A3226" s="1" t="n">
        <v>3224</v>
      </c>
      <c r="B3226" t="n">
        <v>2013</v>
      </c>
      <c r="C3226" s="2" t="n">
        <v>41379.68333333333</v>
      </c>
      <c r="D3226" t="inlineStr">
        <is>
          <t>G1</t>
        </is>
      </c>
      <c r="E3226" t="inlineStr">
        <is>
          <t>HAITIANOS</t>
        </is>
      </c>
      <c r="F3226" t="inlineStr"/>
      <c r="G3226" t="inlineStr">
        <is>
          <t>ALIA PASSARINHODO G1, EM BRASÍLIA</t>
        </is>
      </c>
      <c r="H3226" t="inlineStr">
        <is>
          <t>BRASIL ESTUDA COMO CONTER ENTRADA ILEGAL DE HAITIANOS, DIZ PATRIOTA</t>
        </is>
      </c>
      <c r="I3226" t="inlineStr"/>
      <c r="J3226">
        <f>HYPERLINK("http://g1.globo.com/ac/acre/noticia/2013/04/brasil-estuda-como-conter-entrada-ilegal-de-haitianos-diz-patriota.html", "URL")</f>
        <v/>
      </c>
      <c r="K3226">
        <f>HYPERLINK("https://raw.githubusercontent.com/marcosmapl/dataset_imigrantes/main/noticias_filtered/g1/haitianos/2013/03_abr/html/g1_e018e302-22f1-11ed-b24f-6dbe51e79fca_1769.html", "HTML")</f>
        <v/>
      </c>
      <c r="L3226">
        <f>HYPERLINK("https://raw.githubusercontent.com/marcosmapl/dataset_imigrantes/main/noticias_filtered/g1/haitianos/2013/03_abr/txt/g1_e018e302-22f1-11ed-b24f-6dbe51e79fca_1769.txt", "TXT")</f>
        <v/>
      </c>
    </row>
    <row r="3227">
      <c r="A3227" s="1" t="n">
        <v>3225</v>
      </c>
      <c r="B3227" t="n">
        <v>2013</v>
      </c>
      <c r="C3227" s="2" t="n">
        <v>41379.675</v>
      </c>
      <c r="D3227" t="inlineStr">
        <is>
          <t>G1</t>
        </is>
      </c>
      <c r="E3227" t="inlineStr">
        <is>
          <t>VENEZUELANOS</t>
        </is>
      </c>
      <c r="F3227" t="inlineStr"/>
      <c r="G3227" t="inlineStr">
        <is>
          <t>ERS</t>
        </is>
      </c>
      <c r="H3227" t="inlineStr">
        <is>
          <t>OPOSIÇÃO VENEZUELANA SÓ RECONHECERÁ RESULTADO APÓS CONTAGEM "VOTO A VOTO"</t>
        </is>
      </c>
      <c r="I3227" t="inlineStr"/>
      <c r="J3227">
        <f>HYPERLINK("http://g1.globo.com/mundo/noticia/2013/04/oposicao-venezuelana-so-reconhecera-resultado-apos-contagem-voto-a-voto-1.html", "URL")</f>
        <v/>
      </c>
      <c r="K3227">
        <f>HYPERLINK("https://raw.githubusercontent.com/marcosmapl/dataset_imigrantes/main/noticias_filtered/g1/venezuelanos/2013/03_abr/html/g1_db12812a-2327-11ed-b24f-6dbe51e79fca_4052.html", "HTML")</f>
        <v/>
      </c>
      <c r="L3227">
        <f>HYPERLINK("https://raw.githubusercontent.com/marcosmapl/dataset_imigrantes/main/noticias_filtered/g1/venezuelanos/2013/03_abr/txt/g1_db12812a-2327-11ed-b24f-6dbe51e79fca_4052.txt", "TXT")</f>
        <v/>
      </c>
    </row>
    <row r="3228">
      <c r="A3228" s="1" t="n">
        <v>3226</v>
      </c>
      <c r="B3228" t="n">
        <v>2013</v>
      </c>
      <c r="C3228" s="2" t="n">
        <v>41377.66875</v>
      </c>
      <c r="D3228" t="inlineStr">
        <is>
          <t>G1</t>
        </is>
      </c>
      <c r="E3228" t="inlineStr">
        <is>
          <t>VENEZUELANOS</t>
        </is>
      </c>
      <c r="F3228" t="inlineStr"/>
      <c r="G3228" t="inlineStr">
        <is>
          <t>CE PRESSE</t>
        </is>
      </c>
      <c r="H3228" t="inlineStr">
        <is>
          <t>MADURO DENUNCIA 'GUERRA SUJA' NA ELEIÇÃO VENEZUELANA</t>
        </is>
      </c>
      <c r="I3228" t="inlineStr"/>
      <c r="J3228">
        <f>HYPERLINK("http://g1.globo.com/mundo/noticia/2013/04/maduro-denuncia-guerra-suja-na-eleicao-venezuelana.html", "URL")</f>
        <v/>
      </c>
      <c r="K3228">
        <f>HYPERLINK("https://raw.githubusercontent.com/marcosmapl/dataset_imigrantes/main/noticias_filtered/g1/venezuelanos/2013/03_abr/html/g1_e719a430-2313-11ed-b24f-6dbe51e79fca_3034.html", "HTML")</f>
        <v/>
      </c>
      <c r="L3228">
        <f>HYPERLINK("https://raw.githubusercontent.com/marcosmapl/dataset_imigrantes/main/noticias_filtered/g1/venezuelanos/2013/03_abr/txt/g1_e719a430-2313-11ed-b24f-6dbe51e79fca_3034.txt", "TXT")</f>
        <v/>
      </c>
    </row>
    <row r="3229">
      <c r="A3229" s="1" t="n">
        <v>3227</v>
      </c>
      <c r="B3229" t="n">
        <v>2013</v>
      </c>
      <c r="C3229" s="2" t="n">
        <v>41376.82708333333</v>
      </c>
      <c r="D3229" t="inlineStr">
        <is>
          <t>G1</t>
        </is>
      </c>
      <c r="E3229" t="inlineStr">
        <is>
          <t>VENEZUELANOS</t>
        </is>
      </c>
      <c r="F3229" t="inlineStr"/>
      <c r="G3229" t="inlineStr">
        <is>
          <t>ERS</t>
        </is>
      </c>
      <c r="H3229" t="inlineStr">
        <is>
          <t>SITUAÇÃO DE PRESOS E EXILADOS SOME DA CAMPANHA ELEITORAL VENEZUELANA</t>
        </is>
      </c>
      <c r="I3229" t="inlineStr"/>
      <c r="J3229">
        <f>HYPERLINK("http://g1.globo.com/mundo/noticia/2013/04/situacao-de-presos-e-exilados-some-da-campanha-eleitoral-venezuelana.html", "URL")</f>
        <v/>
      </c>
      <c r="K3229">
        <f>HYPERLINK("https://raw.githubusercontent.com/marcosmapl/dataset_imigrantes/main/noticias_filtered/g1/venezuelanos/2013/03_abr/html/g1_0167e7de-2328-11ed-b24f-6dbe51e79fca_4059.html", "HTML")</f>
        <v/>
      </c>
      <c r="L3229">
        <f>HYPERLINK("https://raw.githubusercontent.com/marcosmapl/dataset_imigrantes/main/noticias_filtered/g1/venezuelanos/2013/03_abr/txt/g1_0167e7de-2328-11ed-b24f-6dbe51e79fca_4059.txt", "TXT")</f>
        <v/>
      </c>
    </row>
    <row r="3230">
      <c r="A3230" s="1" t="n">
        <v>3228</v>
      </c>
      <c r="B3230" t="n">
        <v>2013</v>
      </c>
      <c r="C3230" s="2" t="n">
        <v>41376.76736111111</v>
      </c>
      <c r="D3230" t="inlineStr">
        <is>
          <t>G1</t>
        </is>
      </c>
      <c r="E3230" t="inlineStr">
        <is>
          <t>HAITIANOS</t>
        </is>
      </c>
      <c r="F3230" t="inlineStr"/>
      <c r="G3230" t="inlineStr">
        <is>
          <t>ANA RIBEIRODO G1 AC</t>
        </is>
      </c>
      <c r="H3230" t="inlineStr">
        <is>
          <t>FORÇA-TAREFA CHEGA AO AC PARA ACOMPANHAR SITUAÇÃO DE HAITIANOS</t>
        </is>
      </c>
      <c r="I3230" t="inlineStr"/>
      <c r="J3230">
        <f>HYPERLINK("http://g1.globo.com/ac/acre/noticia/2013/04/forca-tarefa-chega-ao-ac-para-acompanhar-situacao-de-haitianos.html", "URL")</f>
        <v/>
      </c>
      <c r="K3230">
        <f>HYPERLINK("https://raw.githubusercontent.com/marcosmapl/dataset_imigrantes/main/noticias_filtered/g1/haitianos/2013/03_abr/html/g1_f07fb9d6-22f7-11ed-b24f-6dbe51e79fca_2106.html", "HTML")</f>
        <v/>
      </c>
      <c r="L3230">
        <f>HYPERLINK("https://raw.githubusercontent.com/marcosmapl/dataset_imigrantes/main/noticias_filtered/g1/haitianos/2013/03_abr/txt/g1_f07fb9d6-22f7-11ed-b24f-6dbe51e79fca_2106.txt", "TXT")</f>
        <v/>
      </c>
    </row>
    <row r="3231">
      <c r="A3231" s="1" t="n">
        <v>3229</v>
      </c>
      <c r="B3231" t="n">
        <v>2013</v>
      </c>
      <c r="C3231" s="2" t="n">
        <v>41376.72083333333</v>
      </c>
      <c r="D3231" t="inlineStr">
        <is>
          <t>G1</t>
        </is>
      </c>
      <c r="E3231" t="inlineStr">
        <is>
          <t>VENEZUELANOS</t>
        </is>
      </c>
      <c r="F3231" t="inlineStr"/>
      <c r="G3231" t="inlineStr">
        <is>
          <t>CE PRESSE</t>
        </is>
      </c>
      <c r="H3231" t="inlineStr">
        <is>
          <t>OS DESAFIOS DA PETRODIPLOMACIA VENEZUELANA NA ERA PÓS-CHÁVEZ</t>
        </is>
      </c>
      <c r="I3231" t="inlineStr"/>
      <c r="J3231">
        <f>HYPERLINK("http://g1.globo.com/mundo/noticia/2013/04/os-desafios-da-petrodiplomacia-venezuelana-na-era-pos-chavez.html", "URL")</f>
        <v/>
      </c>
      <c r="K3231">
        <f>HYPERLINK("https://raw.githubusercontent.com/marcosmapl/dataset_imigrantes/main/noticias_filtered/g1/venezuelanos/2013/03_abr/html/g1_d71b31fa-231f-11ed-b24f-6dbe51e79fca_3647.html", "HTML")</f>
        <v/>
      </c>
      <c r="L3231">
        <f>HYPERLINK("https://raw.githubusercontent.com/marcosmapl/dataset_imigrantes/main/noticias_filtered/g1/venezuelanos/2013/03_abr/txt/g1_d71b31fa-231f-11ed-b24f-6dbe51e79fca_3647.txt", "TXT")</f>
        <v/>
      </c>
    </row>
    <row r="3232">
      <c r="A3232" s="1" t="n">
        <v>3230</v>
      </c>
      <c r="B3232" t="n">
        <v>2013</v>
      </c>
      <c r="C3232" s="2" t="n">
        <v>41375.43958333333</v>
      </c>
      <c r="D3232" t="inlineStr">
        <is>
          <t>G1</t>
        </is>
      </c>
      <c r="E3232" t="inlineStr">
        <is>
          <t>VENEZUELANOS</t>
        </is>
      </c>
      <c r="F3232" t="inlineStr"/>
      <c r="G3232" t="inlineStr">
        <is>
          <t>ERS</t>
        </is>
      </c>
      <c r="H3232" t="inlineStr">
        <is>
          <t>ELEIÇÃO VENEZUELANA TESTA LEGADO SOCIALISTA DE CHÁVEZ</t>
        </is>
      </c>
      <c r="I3232" t="inlineStr"/>
      <c r="J3232">
        <f>HYPERLINK("http://g1.globo.com/mundo/noticia/2013/04/eleicao-venezuelana-testa-legado-socialista-de-chavez.html", "URL")</f>
        <v/>
      </c>
      <c r="K3232">
        <f>HYPERLINK("https://raw.githubusercontent.com/marcosmapl/dataset_imigrantes/main/noticias_filtered/g1/venezuelanos/2013/03_abr/html/g1_344898f0-2324-11ed-b24f-6dbe51e79fca_3855.html", "HTML")</f>
        <v/>
      </c>
      <c r="L3232">
        <f>HYPERLINK("https://raw.githubusercontent.com/marcosmapl/dataset_imigrantes/main/noticias_filtered/g1/venezuelanos/2013/03_abr/txt/g1_344898f0-2324-11ed-b24f-6dbe51e79fca_3855.txt", "TXT")</f>
        <v/>
      </c>
    </row>
    <row r="3233">
      <c r="A3233" s="1" t="n">
        <v>3231</v>
      </c>
      <c r="B3233" t="n">
        <v>2013</v>
      </c>
      <c r="C3233" s="2" t="n">
        <v>41375.43958333333</v>
      </c>
      <c r="D3233" t="inlineStr">
        <is>
          <t>G1</t>
        </is>
      </c>
      <c r="E3233" t="inlineStr">
        <is>
          <t>VENEZUELANOS</t>
        </is>
      </c>
      <c r="F3233" t="inlineStr"/>
      <c r="G3233" t="inlineStr">
        <is>
          <t>ERS</t>
        </is>
      </c>
      <c r="H3233" t="inlineStr">
        <is>
          <t>ELEIÇÃO VENEZUELANA TESTA LEGADO SOCIALISTA DE CHÁVEZ</t>
        </is>
      </c>
      <c r="I3233" t="inlineStr"/>
      <c r="J3233">
        <f>HYPERLINK("http://g1.globo.com/mundo/noticia/2013/04/eleicao-venezuelana-testa-legado-socialista-de-chavez-1.html", "URL")</f>
        <v/>
      </c>
      <c r="K3233">
        <f>HYPERLINK("https://raw.githubusercontent.com/marcosmapl/dataset_imigrantes/main/noticias_filtered/g1/venezuelanos/2013/03_abr/html/g1_9f694476-2307-11ed-b24f-6dbe51e79fca_2331.html", "HTML")</f>
        <v/>
      </c>
      <c r="L3233">
        <f>HYPERLINK("https://raw.githubusercontent.com/marcosmapl/dataset_imigrantes/main/noticias_filtered/g1/venezuelanos/2013/03_abr/txt/g1_9f694476-2307-11ed-b24f-6dbe51e79fca_2331.txt", "TXT")</f>
        <v/>
      </c>
    </row>
    <row r="3234">
      <c r="A3234" s="1" t="n">
        <v>3232</v>
      </c>
      <c r="B3234" t="n">
        <v>2013</v>
      </c>
      <c r="C3234" s="2" t="n">
        <v>41375.03221064815</v>
      </c>
      <c r="D3234" t="inlineStr">
        <is>
          <t>A CRITICA</t>
        </is>
      </c>
      <c r="E3234" t="inlineStr">
        <is>
          <t>HAITIANOS</t>
        </is>
      </c>
      <c r="F3234" t="inlineStr"/>
      <c r="G3234" t="inlineStr">
        <is>
          <t>ACRÍTICA.COM</t>
        </is>
      </c>
      <c r="H3234" t="inlineStr">
        <is>
          <t>SEMSA CAPACITA PROFISSIONAIS PARA ATENDER HAITIANOS</t>
        </is>
      </c>
      <c r="I3234" t="inlineStr">
        <is>
          <t>A CAPACITAÇÃO NO DIALETO CREOLEDEVE FACILITAR A COMUNICAÇÃO DOS PROFISSIONAIS DE SAÚDE COM OS HAITIANOS QUE BUSCAM AUXÍLIO NO SUS</t>
        </is>
      </c>
      <c r="J3234">
        <f>HYPERLINK("https://www.acritica.com/semsa-capacita-profissionais-para-atender-haitianos-1.116163", "URL")</f>
        <v/>
      </c>
      <c r="K3234">
        <f>HYPERLINK("https://raw.githubusercontent.com/marcosmapl/dataset_imigrantes/main/noticias_filtered/a_critica/haitianos/2013/03_abr/html/1.116163_421.html", "HTML")</f>
        <v/>
      </c>
      <c r="L3234">
        <f>HYPERLINK("https://raw.githubusercontent.com/marcosmapl/dataset_imigrantes/main/noticias_filtered/a_critica/haitianos/2013/03_abr/txt/1.116163_421.txt", "TXT")</f>
        <v/>
      </c>
    </row>
    <row r="3235">
      <c r="A3235" s="1" t="n">
        <v>3233</v>
      </c>
      <c r="B3235" t="n">
        <v>2013</v>
      </c>
      <c r="C3235" s="2" t="n">
        <v>41374.89513888889</v>
      </c>
      <c r="D3235" t="inlineStr">
        <is>
          <t>G1</t>
        </is>
      </c>
      <c r="E3235" t="inlineStr">
        <is>
          <t>HAITIANOS</t>
        </is>
      </c>
      <c r="F3235" t="inlineStr"/>
      <c r="G3235" t="inlineStr"/>
      <c r="H3235" t="inlineStr">
        <is>
          <t>FORÇA-TAREFA VAI CUIDAR DE HAITIANOS QUE ENTRAM NO BRASIL PELO ACRE</t>
        </is>
      </c>
      <c r="I3235" t="inlineStr"/>
      <c r="J3235">
        <f>HYPERLINK("http://g1.globo.com/jornal-nacional/noticia/2013/04/forca-tarefa-vai-cuidar-de-haitianos-que-entram-no-brasil-pelo-acre.html", "URL")</f>
        <v/>
      </c>
      <c r="K3235">
        <f>HYPERLINK("https://raw.githubusercontent.com/marcosmapl/dataset_imigrantes/main/noticias_filtered/g1/haitianos/2013/03_abr/html/g1_bf0e832a-22f0-11ed-b24f-6dbe51e79fca_1719.html", "HTML")</f>
        <v/>
      </c>
      <c r="L3235">
        <f>HYPERLINK("https://raw.githubusercontent.com/marcosmapl/dataset_imigrantes/main/noticias_filtered/g1/haitianos/2013/03_abr/txt/g1_bf0e832a-22f0-11ed-b24f-6dbe51e79fca_1719.txt", "TXT")</f>
        <v/>
      </c>
    </row>
    <row r="3236">
      <c r="A3236" s="1" t="n">
        <v>3234</v>
      </c>
      <c r="B3236" t="n">
        <v>2013</v>
      </c>
      <c r="C3236" s="2" t="n">
        <v>41374.86666666667</v>
      </c>
      <c r="D3236" t="inlineStr">
        <is>
          <t>G1</t>
        </is>
      </c>
      <c r="E3236" t="inlineStr">
        <is>
          <t>HAITIANOS</t>
        </is>
      </c>
      <c r="F3236" t="inlineStr"/>
      <c r="G3236" t="inlineStr">
        <is>
          <t>CILLA MENDESDO G1, EM BRASÍLIA</t>
        </is>
      </c>
      <c r="H3236" t="inlineStr">
        <is>
          <t>FORÇA-TAREFA VAI REGULARIZAR SITUAÇÃO DE HAITIANOS NO ACRE, DIZ MINISTRO</t>
        </is>
      </c>
      <c r="I3236" t="inlineStr"/>
      <c r="J3236">
        <f>HYPERLINK("http://g1.globo.com/ac/acre/noticia/2013/04/forca-tarefa-vai-regularizar-situacao-de-haitianos-no-acre-diz-ministro.html", "URL")</f>
        <v/>
      </c>
      <c r="K3236">
        <f>HYPERLINK("https://raw.githubusercontent.com/marcosmapl/dataset_imigrantes/main/noticias_filtered/g1/haitianos/2013/03_abr/html/g1_a79b5efa-22f7-11ed-b24f-6dbe51e79fca_2088.html", "HTML")</f>
        <v/>
      </c>
      <c r="L3236">
        <f>HYPERLINK("https://raw.githubusercontent.com/marcosmapl/dataset_imigrantes/main/noticias_filtered/g1/haitianos/2013/03_abr/txt/g1_a79b5efa-22f7-11ed-b24f-6dbe51e79fca_2088.txt", "TXT")</f>
        <v/>
      </c>
    </row>
    <row r="3237">
      <c r="A3237" s="1" t="n">
        <v>3235</v>
      </c>
      <c r="B3237" t="n">
        <v>2013</v>
      </c>
      <c r="C3237" s="2" t="n">
        <v>41373.64166666667</v>
      </c>
      <c r="D3237" t="inlineStr">
        <is>
          <t>G1</t>
        </is>
      </c>
      <c r="E3237" t="inlineStr">
        <is>
          <t>VENEZUELANOS</t>
        </is>
      </c>
      <c r="F3237" t="inlineStr"/>
      <c r="G3237" t="inlineStr">
        <is>
          <t>CE PRESSE</t>
        </is>
      </c>
      <c r="H3237" t="inlineStr">
        <is>
          <t>MADURO ADOTA ESTILO DE CHÁVEZ PARA GANHAR POPULARIDADE NAS ELEIÇÕES VENEZUELANAS</t>
        </is>
      </c>
      <c r="I3237" t="inlineStr"/>
      <c r="J3237">
        <f>HYPERLINK("http://g1.globo.com/mundo/noticia/2013/04/maduro-adota-estilo-de-chavez-para-ganhar-popularidade-nas-eleicoes-venezuelanas.html", "URL")</f>
        <v/>
      </c>
      <c r="K3237">
        <f>HYPERLINK("https://raw.githubusercontent.com/marcosmapl/dataset_imigrantes/main/noticias_filtered/g1/venezuelanos/2013/03_abr/html/g1_ae0fd05c-2317-11ed-b24f-6dbe51e79fca_3224.html", "HTML")</f>
        <v/>
      </c>
      <c r="L3237">
        <f>HYPERLINK("https://raw.githubusercontent.com/marcosmapl/dataset_imigrantes/main/noticias_filtered/g1/venezuelanos/2013/03_abr/txt/g1_ae0fd05c-2317-11ed-b24f-6dbe51e79fca_3224.txt", "TXT")</f>
        <v/>
      </c>
    </row>
    <row r="3238">
      <c r="A3238" s="1" t="n">
        <v>3236</v>
      </c>
      <c r="B3238" t="n">
        <v>2013</v>
      </c>
      <c r="C3238" s="2" t="n">
        <v>41373.55486111111</v>
      </c>
      <c r="D3238" t="inlineStr">
        <is>
          <t>G1</t>
        </is>
      </c>
      <c r="E3238" t="inlineStr">
        <is>
          <t>HAITIANOS</t>
        </is>
      </c>
      <c r="F3238" t="inlineStr"/>
      <c r="G3238" t="inlineStr"/>
      <c r="H3238" t="inlineStr">
        <is>
          <t>CORREÇÃO: IMIGRANTES HAITIANOS NO AC</t>
        </is>
      </c>
      <c r="I3238" t="inlineStr"/>
      <c r="J3238">
        <f>HYPERLINK("http://g1.globo.com/ac/acre/noticia/2013/04/correcao-imigrantes-haitianos-no-ac.html", "URL")</f>
        <v/>
      </c>
      <c r="K3238">
        <f>HYPERLINK("https://raw.githubusercontent.com/marcosmapl/dataset_imigrantes/main/noticias_filtered/g1/haitianos/2013/03_abr/html/g1_bdaf6b24-22f6-11ed-b24f-6dbe51e79fca_2034.html", "HTML")</f>
        <v/>
      </c>
      <c r="L3238">
        <f>HYPERLINK("https://raw.githubusercontent.com/marcosmapl/dataset_imigrantes/main/noticias_filtered/g1/haitianos/2013/03_abr/txt/g1_bdaf6b24-22f6-11ed-b24f-6dbe51e79fca_2034.txt", "TXT")</f>
        <v/>
      </c>
    </row>
    <row r="3239">
      <c r="A3239" s="1" t="n">
        <v>3237</v>
      </c>
      <c r="B3239" t="n">
        <v>2013</v>
      </c>
      <c r="C3239" s="2" t="n">
        <v>41372.72708333333</v>
      </c>
      <c r="D3239" t="inlineStr">
        <is>
          <t>G1</t>
        </is>
      </c>
      <c r="E3239" t="inlineStr">
        <is>
          <t>HAITIANOS</t>
        </is>
      </c>
      <c r="F3239" t="inlineStr"/>
      <c r="G3239" t="inlineStr">
        <is>
          <t>R ONLINE</t>
        </is>
      </c>
      <c r="H3239" t="inlineStr">
        <is>
          <t>JORGE VIANA PEDE SOLUÇÃO PARA IMIGRANTES HAITIANOS</t>
        </is>
      </c>
      <c r="I3239" t="inlineStr"/>
      <c r="J3239">
        <f>HYPERLINK("http://g1.globo.com/economia/noticia/2013/04/jorge-viana-pede-solucao-para-imigrantes-haitianos.html", "URL")</f>
        <v/>
      </c>
      <c r="K3239">
        <f>HYPERLINK("https://raw.githubusercontent.com/marcosmapl/dataset_imigrantes/main/noticias_filtered/g1/haitianos/2013/03_abr/html/g1_257d57f8-22f1-11ed-b24f-6dbe51e79fca_1737.html", "HTML")</f>
        <v/>
      </c>
      <c r="L3239">
        <f>HYPERLINK("https://raw.githubusercontent.com/marcosmapl/dataset_imigrantes/main/noticias_filtered/g1/haitianos/2013/03_abr/txt/g1_257d57f8-22f1-11ed-b24f-6dbe51e79fca_1737.txt", "TXT")</f>
        <v/>
      </c>
    </row>
    <row r="3240">
      <c r="A3240" s="1" t="n">
        <v>3238</v>
      </c>
      <c r="B3240" t="n">
        <v>2013</v>
      </c>
      <c r="C3240" s="2" t="n">
        <v>41371.56319444445</v>
      </c>
      <c r="D3240" t="inlineStr">
        <is>
          <t>G1</t>
        </is>
      </c>
      <c r="E3240" t="inlineStr">
        <is>
          <t>VENEZUELANOS</t>
        </is>
      </c>
      <c r="F3240" t="inlineStr"/>
      <c r="G3240" t="inlineStr">
        <is>
          <t>EUTERS</t>
        </is>
      </c>
      <c r="H3240" t="inlineStr">
        <is>
          <t>MADURO USA SEU PASSADO DE MOTORISTA NA CAMPANHA VENEZUELANA</t>
        </is>
      </c>
      <c r="I3240" t="inlineStr"/>
      <c r="J3240">
        <f>HYPERLINK("http://g1.globo.com/mundo/hugo-chavez/noticia/2013/04/maduro-usa-seu-passado-de-motorista-na-campanha-venezuelana.html", "URL")</f>
        <v/>
      </c>
      <c r="K3240">
        <f>HYPERLINK("https://raw.githubusercontent.com/marcosmapl/dataset_imigrantes/main/noticias_filtered/g1/venezuelanos/2013/03_abr/html/g1_6b790cbe-230c-11ed-b24f-6dbe51e79fca_2623.html", "HTML")</f>
        <v/>
      </c>
      <c r="L3240">
        <f>HYPERLINK("https://raw.githubusercontent.com/marcosmapl/dataset_imigrantes/main/noticias_filtered/g1/venezuelanos/2013/03_abr/txt/g1_6b790cbe-230c-11ed-b24f-6dbe51e79fca_2623.txt", "TXT")</f>
        <v/>
      </c>
    </row>
    <row r="3241">
      <c r="A3241" s="1" t="n">
        <v>3239</v>
      </c>
      <c r="B3241" t="n">
        <v>2013</v>
      </c>
      <c r="C3241" s="2" t="n">
        <v>41371.55208333334</v>
      </c>
      <c r="D3241" t="inlineStr">
        <is>
          <t>G1</t>
        </is>
      </c>
      <c r="E3241" t="inlineStr">
        <is>
          <t>VENEZUELANOS</t>
        </is>
      </c>
      <c r="F3241" t="inlineStr"/>
      <c r="G3241" t="inlineStr">
        <is>
          <t>ERS</t>
        </is>
      </c>
      <c r="H3241" t="inlineStr">
        <is>
          <t>MADURO USA O SEU PASSADO DE MOTORISTA NA CAMPANHA VENEZUELANA</t>
        </is>
      </c>
      <c r="I3241" t="inlineStr"/>
      <c r="J3241">
        <f>HYPERLINK("http://g1.globo.com/mundo/noticia/2013/04/maduro-usa-o-seu-passado-de-motorista-na-campanha-venezuelana.html", "URL")</f>
        <v/>
      </c>
      <c r="K3241">
        <f>HYPERLINK("https://raw.githubusercontent.com/marcosmapl/dataset_imigrantes/main/noticias_filtered/g1/venezuelanos/2013/03_abr/html/g1_108cb354-2321-11ed-b24f-6dbe51e79fca_3678.html", "HTML")</f>
        <v/>
      </c>
      <c r="L3241">
        <f>HYPERLINK("https://raw.githubusercontent.com/marcosmapl/dataset_imigrantes/main/noticias_filtered/g1/venezuelanos/2013/03_abr/txt/g1_108cb354-2321-11ed-b24f-6dbe51e79fca_3678.txt", "TXT")</f>
        <v/>
      </c>
    </row>
    <row r="3242">
      <c r="A3242" s="1" t="n">
        <v>3240</v>
      </c>
      <c r="B3242" t="n">
        <v>2013</v>
      </c>
      <c r="C3242" s="2" t="n">
        <v>41371.55208333334</v>
      </c>
      <c r="D3242" t="inlineStr">
        <is>
          <t>G1</t>
        </is>
      </c>
      <c r="E3242" t="inlineStr">
        <is>
          <t>VENEZUELANOS</t>
        </is>
      </c>
      <c r="F3242" t="inlineStr"/>
      <c r="G3242" t="inlineStr">
        <is>
          <t>ERS</t>
        </is>
      </c>
      <c r="H3242" t="inlineStr">
        <is>
          <t>MADURO USA O SEU PASSADO DE MOTORISTA NA CAMPANHA VENEZUELANA</t>
        </is>
      </c>
      <c r="I3242" t="inlineStr"/>
      <c r="J3242">
        <f>HYPERLINK("http://g1.globo.com/mundo/noticia/2013/04/maduro-usa-o-seu-passado-de-motorista-na-campanha-venezuelana-1.html", "URL")</f>
        <v/>
      </c>
      <c r="K3242">
        <f>HYPERLINK("https://raw.githubusercontent.com/marcosmapl/dataset_imigrantes/main/noticias_filtered/g1/venezuelanos/2013/03_abr/html/g1_59447264-2329-11ed-b24f-6dbe51e79fca_4111.html", "HTML")</f>
        <v/>
      </c>
      <c r="L3242">
        <f>HYPERLINK("https://raw.githubusercontent.com/marcosmapl/dataset_imigrantes/main/noticias_filtered/g1/venezuelanos/2013/03_abr/txt/g1_59447264-2329-11ed-b24f-6dbe51e79fca_4111.txt", "TXT")</f>
        <v/>
      </c>
    </row>
    <row r="3243">
      <c r="A3243" s="1" t="n">
        <v>3241</v>
      </c>
      <c r="B3243" t="n">
        <v>2013</v>
      </c>
      <c r="C3243" s="2" t="n">
        <v>41370.82291666666</v>
      </c>
      <c r="D3243" t="inlineStr">
        <is>
          <t>G1</t>
        </is>
      </c>
      <c r="E3243" t="inlineStr">
        <is>
          <t>VENEZUELANOS</t>
        </is>
      </c>
      <c r="F3243" t="inlineStr"/>
      <c r="G3243" t="inlineStr">
        <is>
          <t>CE PRESSE</t>
        </is>
      </c>
      <c r="H3243" t="inlineStr">
        <is>
          <t>LONGE DO FAVORITISMO NAS PESQUISAS, OPOSIÇÃO VENEZUELANA PERSISTE</t>
        </is>
      </c>
      <c r="I3243" t="inlineStr"/>
      <c r="J3243">
        <f>HYPERLINK("http://g1.globo.com/mundo/noticia/2013/04/longe-do-favoritismo-nas-pesquisas-oposicao-venezuelana-persiste.html", "URL")</f>
        <v/>
      </c>
      <c r="K3243">
        <f>HYPERLINK("https://raw.githubusercontent.com/marcosmapl/dataset_imigrantes/main/noticias_filtered/g1/venezuelanos/2013/03_abr/html/g1_2080eda6-230e-11ed-b24f-6dbe51e79fca_2723.html", "HTML")</f>
        <v/>
      </c>
      <c r="L3243">
        <f>HYPERLINK("https://raw.githubusercontent.com/marcosmapl/dataset_imigrantes/main/noticias_filtered/g1/venezuelanos/2013/03_abr/txt/g1_2080eda6-230e-11ed-b24f-6dbe51e79fca_2723.txt", "TXT")</f>
        <v/>
      </c>
    </row>
    <row r="3244">
      <c r="A3244" s="1" t="n">
        <v>3242</v>
      </c>
      <c r="B3244" t="n">
        <v>2013</v>
      </c>
      <c r="C3244" s="2" t="n">
        <v>41369.87141203704</v>
      </c>
      <c r="D3244" t="inlineStr">
        <is>
          <t>A CRITICA</t>
        </is>
      </c>
      <c r="E3244" t="inlineStr">
        <is>
          <t>HAITIANOS</t>
        </is>
      </c>
      <c r="F3244" t="inlineStr"/>
      <c r="G3244" t="inlineStr">
        <is>
          <t>MARCOS CHAGAS/AGÊNCIA BRASIL</t>
        </is>
      </c>
      <c r="H3244" t="inlineStr">
        <is>
          <t>BRASIL ENTRA NA ROTA DO TRÁFICO DE HAITIANOS PARA A AMÉRICA DO SUL</t>
        </is>
      </c>
      <c r="I3244" t="inlineStr">
        <is>
          <t>OPERAÇÃO CONJUNTA DA SECRETARIA DE JUSTIÇA E DIREITOS HUMANOS E DA POLÍCIA FEDERAL APREENDEU UM MENOR QUE SERIA TRAFICADO PARA A GUIANA FRANCESA</t>
        </is>
      </c>
      <c r="J3244">
        <f>HYPERLINK("https://www.acritica.com/brasil-entra-na-rota-do-trafico-de-haitianos-para-a-america-do-sul-1.132789", "URL")</f>
        <v/>
      </c>
      <c r="K3244">
        <f>HYPERLINK("https://raw.githubusercontent.com/marcosmapl/dataset_imigrantes/main/noticias_filtered/a_critica/haitianos/2013/03_abr/html/1.132789_1237.html", "HTML")</f>
        <v/>
      </c>
      <c r="L3244">
        <f>HYPERLINK("https://raw.githubusercontent.com/marcosmapl/dataset_imigrantes/main/noticias_filtered/a_critica/haitianos/2013/03_abr/txt/1.132789_1237.txt", "TXT")</f>
        <v/>
      </c>
    </row>
    <row r="3245">
      <c r="A3245" s="1" t="n">
        <v>3243</v>
      </c>
      <c r="B3245" t="n">
        <v>2013</v>
      </c>
      <c r="C3245" s="2" t="n">
        <v>41369.67708333334</v>
      </c>
      <c r="D3245" t="inlineStr">
        <is>
          <t>G1</t>
        </is>
      </c>
      <c r="E3245" t="inlineStr">
        <is>
          <t>VENEZUELANOS</t>
        </is>
      </c>
      <c r="F3245" t="inlineStr"/>
      <c r="G3245" t="inlineStr"/>
      <c r="H3245" t="inlineStr">
        <is>
          <t>UM MÊS APÓS SUA MORTE, CHÁVEZ É 'SOMBRA' NA ELEIÇÃO VENEZUELANA</t>
        </is>
      </c>
      <c r="I3245" t="inlineStr"/>
      <c r="J3245">
        <f>HYPERLINK("http://g1.globo.com/mundo/noticia/2013/04/um-mes-apos-sua-morte-chavez-e-sombra-na-eleicao-venezuelana.html", "URL")</f>
        <v/>
      </c>
      <c r="K3245">
        <f>HYPERLINK("https://raw.githubusercontent.com/marcosmapl/dataset_imigrantes/main/noticias_filtered/g1/venezuelanos/2013/03_abr/html/g1_1707e0d4-2310-11ed-b24f-6dbe51e79fca_2839.html", "HTML")</f>
        <v/>
      </c>
      <c r="L3245">
        <f>HYPERLINK("https://raw.githubusercontent.com/marcosmapl/dataset_imigrantes/main/noticias_filtered/g1/venezuelanos/2013/03_abr/txt/g1_1707e0d4-2310-11ed-b24f-6dbe51e79fca_2839.txt", "TXT")</f>
        <v/>
      </c>
    </row>
    <row r="3246">
      <c r="A3246" s="1" t="n">
        <v>3244</v>
      </c>
      <c r="B3246" t="n">
        <v>2013</v>
      </c>
      <c r="C3246" s="2" t="n">
        <v>41367.71805555555</v>
      </c>
      <c r="D3246" t="inlineStr">
        <is>
          <t>G1</t>
        </is>
      </c>
      <c r="E3246" t="inlineStr">
        <is>
          <t>VENEZUELANOS</t>
        </is>
      </c>
      <c r="F3246" t="inlineStr"/>
      <c r="G3246" t="inlineStr">
        <is>
          <t>RANCE PRESSE</t>
        </is>
      </c>
      <c r="H3246" t="inlineStr">
        <is>
          <t>GOVERNO E OPOSIÇÃO SE ACUSAM DE USAR MILITARES NA ELEIÇÃO VENEZUELANA</t>
        </is>
      </c>
      <c r="I3246" t="inlineStr"/>
      <c r="J3246">
        <f>HYPERLINK("http://g1.globo.com/mundo/hugo-chavez/noticia/2013/04/governo-e-oposicao-se-acusam-de-usar-militares-na-eleicao-venezuelana.html", "URL")</f>
        <v/>
      </c>
      <c r="K3246">
        <f>HYPERLINK("https://raw.githubusercontent.com/marcosmapl/dataset_imigrantes/main/noticias_filtered/g1/venezuelanos/2013/03_abr/html/g1_1c97e98a-232a-11ed-b24f-6dbe51e79fca_4158.html", "HTML")</f>
        <v/>
      </c>
      <c r="L3246">
        <f>HYPERLINK("https://raw.githubusercontent.com/marcosmapl/dataset_imigrantes/main/noticias_filtered/g1/venezuelanos/2013/03_abr/txt/g1_1c97e98a-232a-11ed-b24f-6dbe51e79fca_4158.txt", "TXT")</f>
        <v/>
      </c>
    </row>
    <row r="3247">
      <c r="A3247" s="1" t="n">
        <v>3245</v>
      </c>
      <c r="B3247" t="n">
        <v>2013</v>
      </c>
      <c r="C3247" s="2" t="n">
        <v>41366.51944444444</v>
      </c>
      <c r="D3247" t="inlineStr">
        <is>
          <t>A CRITICA</t>
        </is>
      </c>
      <c r="E3247" t="inlineStr">
        <is>
          <t>VENEZUELANOS</t>
        </is>
      </c>
      <c r="F3247" t="inlineStr"/>
      <c r="G3247" t="inlineStr">
        <is>
          <t>LEANDRA FELIPE/ AGÊNCIA BRASIL/EBC</t>
        </is>
      </c>
      <c r="H3247" t="inlineStr">
        <is>
          <t>CAMPANHA ELEITORAL NA VENEZUELA COMEÇA OFICIALMENTE</t>
        </is>
      </c>
      <c r="I3247" t="inlineStr">
        <is>
          <t>EMBORA O PERÍODO DETERMINADO PARA A CAMPANHA COMECE AGORA, OS CANDIDATOS EMPREENDEM JORNADAS DE ENTREVISTAS, CAMINHADAS E  ENCONTROS EM BUSCA DE VOTOS</t>
        </is>
      </c>
      <c r="J3247">
        <f>HYPERLINK("https://www.acritica.com/campanha-eleitoral-na-venezuela-comeca-oficialmente-1.213965", "URL")</f>
        <v/>
      </c>
      <c r="K3247">
        <f>HYPERLINK("https://raw.githubusercontent.com/marcosmapl/dataset_imigrantes/main/noticias_filtered/a_critica/venezuelanos/2013/03_abr/html/1.213965_537.html", "HTML")</f>
        <v/>
      </c>
      <c r="L3247">
        <f>HYPERLINK("https://raw.githubusercontent.com/marcosmapl/dataset_imigrantes/main/noticias_filtered/a_critica/venezuelanos/2013/03_abr/txt/1.213965_537.txt", "TXT")</f>
        <v/>
      </c>
    </row>
    <row r="3248">
      <c r="A3248" s="1" t="n">
        <v>3246</v>
      </c>
      <c r="B3248" t="n">
        <v>2013</v>
      </c>
      <c r="C3248" s="2" t="n">
        <v>41363.7125</v>
      </c>
      <c r="D3248" t="inlineStr">
        <is>
          <t>G1</t>
        </is>
      </c>
      <c r="E3248" t="inlineStr">
        <is>
          <t>VENEZUELANOS</t>
        </is>
      </c>
      <c r="F3248" t="inlineStr"/>
      <c r="G3248" t="inlineStr">
        <is>
          <t>EUTERS</t>
        </is>
      </c>
      <c r="H3248" t="inlineStr">
        <is>
          <t>MADURO CHAMA OPOSIÇÃO VENEZUELANA DE 'HERDEIROS DE HITLER'</t>
        </is>
      </c>
      <c r="I3248" t="inlineStr"/>
      <c r="J3248">
        <f>HYPERLINK("http://g1.globo.com/mundo/noticia/2013/03/maduro-chama-oposicao-venezuelana-de-herdeiros-de-hitler.html", "URL")</f>
        <v/>
      </c>
      <c r="K3248">
        <f>HYPERLINK("https://raw.githubusercontent.com/marcosmapl/dataset_imigrantes/main/noticias_filtered/g1/venezuelanos/2013/02_mar/html/g1_e4799818-231b-11ed-b24f-6dbe51e79fca_3414.html", "HTML")</f>
        <v/>
      </c>
      <c r="L3248">
        <f>HYPERLINK("https://raw.githubusercontent.com/marcosmapl/dataset_imigrantes/main/noticias_filtered/g1/venezuelanos/2013/02_mar/txt/g1_e4799818-231b-11ed-b24f-6dbe51e79fca_3414.txt", "TXT")</f>
        <v/>
      </c>
    </row>
    <row r="3249">
      <c r="A3249" s="1" t="n">
        <v>3247</v>
      </c>
      <c r="B3249" t="n">
        <v>2013</v>
      </c>
      <c r="C3249" s="2" t="n">
        <v>41363.7125</v>
      </c>
      <c r="D3249" t="inlineStr">
        <is>
          <t>G1</t>
        </is>
      </c>
      <c r="E3249" t="inlineStr">
        <is>
          <t>VENEZUELANOS</t>
        </is>
      </c>
      <c r="F3249" t="inlineStr"/>
      <c r="G3249" t="inlineStr">
        <is>
          <t>ERS</t>
        </is>
      </c>
      <c r="H3249" t="inlineStr">
        <is>
          <t>MADURO CHAMA OPOSIÇÃO VENEZUELANA DE "HERDEIROS DE HITLER"</t>
        </is>
      </c>
      <c r="I3249" t="inlineStr"/>
      <c r="J3249">
        <f>HYPERLINK("http://g1.globo.com/mundo/noticia/2013/03/maduro-chama-oposicao-venezuelana-de-herdeiros-de-hitler-1.html", "URL")</f>
        <v/>
      </c>
      <c r="K3249">
        <f>HYPERLINK("https://raw.githubusercontent.com/marcosmapl/dataset_imigrantes/main/noticias_filtered/g1/venezuelanos/2013/02_mar/html/g1_82c10000-2309-11ed-b24f-6dbe51e79fca_2448.html", "HTML")</f>
        <v/>
      </c>
      <c r="L3249">
        <f>HYPERLINK("https://raw.githubusercontent.com/marcosmapl/dataset_imigrantes/main/noticias_filtered/g1/venezuelanos/2013/02_mar/txt/g1_82c10000-2309-11ed-b24f-6dbe51e79fca_2448.txt", "TXT")</f>
        <v/>
      </c>
    </row>
    <row r="3250">
      <c r="A3250" s="1" t="n">
        <v>3248</v>
      </c>
      <c r="B3250" t="n">
        <v>2013</v>
      </c>
      <c r="C3250" s="2" t="n">
        <v>41360.61111111111</v>
      </c>
      <c r="D3250" t="inlineStr">
        <is>
          <t>G1</t>
        </is>
      </c>
      <c r="E3250" t="inlineStr">
        <is>
          <t>HAITIANOS</t>
        </is>
      </c>
      <c r="F3250" t="inlineStr"/>
      <c r="G3250" t="inlineStr">
        <is>
          <t>E LUCCHESETABATINGA, AM</t>
        </is>
      </c>
      <c r="H3250" t="inlineStr">
        <is>
          <t>HAITIANOS ENTRAM ILEGALMENTE NO PAÍS</t>
        </is>
      </c>
      <c r="I3250" t="inlineStr"/>
      <c r="J3250">
        <f>HYPERLINK("http://g1.globo.com/jornal-hoje/noticia/2013/03/haitianos-entram-ilegalmente-no-pais.html", "URL")</f>
        <v/>
      </c>
      <c r="K3250">
        <f>HYPERLINK("https://raw.githubusercontent.com/marcosmapl/dataset_imigrantes/main/noticias_filtered/g1/haitianos/2013/02_mar/html/g1_802829f2-22f7-11ed-b24f-6dbe51e79fca_2083.html", "HTML")</f>
        <v/>
      </c>
      <c r="L3250">
        <f>HYPERLINK("https://raw.githubusercontent.com/marcosmapl/dataset_imigrantes/main/noticias_filtered/g1/haitianos/2013/02_mar/txt/g1_802829f2-22f7-11ed-b24f-6dbe51e79fca_2083.txt", "TXT")</f>
        <v/>
      </c>
    </row>
    <row r="3251">
      <c r="A3251" s="1" t="n">
        <v>3249</v>
      </c>
      <c r="B3251" t="n">
        <v>2013</v>
      </c>
      <c r="C3251" s="2" t="n">
        <v>41352.77708333333</v>
      </c>
      <c r="D3251" t="inlineStr">
        <is>
          <t>G1</t>
        </is>
      </c>
      <c r="E3251" t="inlineStr">
        <is>
          <t>VENEZUELANOS</t>
        </is>
      </c>
      <c r="F3251" t="inlineStr"/>
      <c r="G3251" t="inlineStr">
        <is>
          <t>CE PRESSE</t>
        </is>
      </c>
      <c r="H3251" t="inlineStr">
        <is>
          <t>PESQUISA MOSTRA MADURO ESTÁ 18 PONTOS À FRENTE DE CAPRILES PARA ELEIÇÕES VENEZUELANAS</t>
        </is>
      </c>
      <c r="I3251" t="inlineStr"/>
      <c r="J3251">
        <f>HYPERLINK("http://g1.globo.com/mundo/noticia/2013/03/pesquisa-mostra-maduro-esta-18-pontos-a-frente-de-capriles-para-eleicoes-venezuelanas.html", "URL")</f>
        <v/>
      </c>
      <c r="K3251">
        <f>HYPERLINK("https://raw.githubusercontent.com/marcosmapl/dataset_imigrantes/main/noticias_filtered/g1/venezuelanos/2013/02_mar/html/g1_4caf4eae-230e-11ed-b24f-6dbe51e79fca_2733.html", "HTML")</f>
        <v/>
      </c>
      <c r="L3251">
        <f>HYPERLINK("https://raw.githubusercontent.com/marcosmapl/dataset_imigrantes/main/noticias_filtered/g1/venezuelanos/2013/02_mar/txt/g1_4caf4eae-230e-11ed-b24f-6dbe51e79fca_2733.txt", "TXT")</f>
        <v/>
      </c>
    </row>
    <row r="3252">
      <c r="A3252" s="1" t="n">
        <v>3250</v>
      </c>
      <c r="B3252" t="n">
        <v>2013</v>
      </c>
      <c r="C3252" s="2" t="n">
        <v>41352.7125</v>
      </c>
      <c r="D3252" t="inlineStr">
        <is>
          <t>G1</t>
        </is>
      </c>
      <c r="E3252" t="inlineStr">
        <is>
          <t>VENEZUELANOS</t>
        </is>
      </c>
      <c r="F3252" t="inlineStr"/>
      <c r="G3252" t="inlineStr">
        <is>
          <t>CE PRESSE</t>
        </is>
      </c>
      <c r="H3252" t="inlineStr">
        <is>
          <t>MADURO DIZ QUE OPOSIÇÃO VENEZUELANA PLANEJA BOICOTAR ELEIÇÕES</t>
        </is>
      </c>
      <c r="I3252" t="inlineStr"/>
      <c r="J3252">
        <f>HYPERLINK("http://g1.globo.com/mundo/noticia/2013/03/maduro-diz-que-oposicao-venezuelana-planeja-boicotar-eleicoes.html", "URL")</f>
        <v/>
      </c>
      <c r="K3252">
        <f>HYPERLINK("https://raw.githubusercontent.com/marcosmapl/dataset_imigrantes/main/noticias_filtered/g1/venezuelanos/2013/02_mar/html/g1_b42e5ee4-2318-11ed-b24f-6dbe51e79fca_3273.html", "HTML")</f>
        <v/>
      </c>
      <c r="L3252">
        <f>HYPERLINK("https://raw.githubusercontent.com/marcosmapl/dataset_imigrantes/main/noticias_filtered/g1/venezuelanos/2013/02_mar/txt/g1_b42e5ee4-2318-11ed-b24f-6dbe51e79fca_3273.txt", "TXT")</f>
        <v/>
      </c>
    </row>
    <row r="3253">
      <c r="A3253" s="1" t="n">
        <v>3251</v>
      </c>
      <c r="B3253" t="n">
        <v>2013</v>
      </c>
      <c r="C3253" s="2" t="n">
        <v>41351.67512731482</v>
      </c>
      <c r="D3253" t="inlineStr">
        <is>
          <t>A CRITICA</t>
        </is>
      </c>
      <c r="E3253" t="inlineStr">
        <is>
          <t>HAITIANOS</t>
        </is>
      </c>
      <c r="F3253" t="inlineStr">
        <is>
          <t>MANAUS</t>
        </is>
      </c>
      <c r="G3253" t="inlineStr">
        <is>
          <t>ACRÍTICA.COM</t>
        </is>
      </c>
      <c r="H3253" t="inlineStr">
        <is>
          <t>SECRETÁRIO DE ARTUR PEDE PROTEÇÃO À POLÍCIA FEDERAL</t>
        </is>
      </c>
      <c r="I3253" t="inlineStr">
        <is>
          <t>RESPONSÁVEL POR REORGANIZAR O CENTRO DE MANAUS ATÉ A COPA DE 2014, RAFAEL LEMOS ASSAYAG, QUE JÁ ANDA ESCOLTADO POR SEGURANÇAS, PEDE NESTA SEGUNDA APOIO PARA A PF</t>
        </is>
      </c>
      <c r="J3253">
        <f>HYPERLINK("https://www.acritica.com/manaus/secretario-de-artur-pede-protec-o-a-policia-federal-1.130288", "URL")</f>
        <v/>
      </c>
      <c r="K3253">
        <f>HYPERLINK("https://raw.githubusercontent.com/marcosmapl/dataset_imigrantes/main/noticias_filtered/a_critica/haitianos/2013/02_mar/html/1.130288_1014.html", "HTML")</f>
        <v/>
      </c>
      <c r="L3253">
        <f>HYPERLINK("https://raw.githubusercontent.com/marcosmapl/dataset_imigrantes/main/noticias_filtered/a_critica/haitianos/2013/02_mar/txt/1.130288_1014.txt", "TXT")</f>
        <v/>
      </c>
    </row>
    <row r="3254">
      <c r="A3254" s="1" t="n">
        <v>3252</v>
      </c>
      <c r="B3254" t="n">
        <v>2013</v>
      </c>
      <c r="C3254" s="2" t="n">
        <v>41349.68142361111</v>
      </c>
      <c r="D3254" t="inlineStr">
        <is>
          <t>A CRITICA</t>
        </is>
      </c>
      <c r="E3254" t="inlineStr">
        <is>
          <t>VENEZUELANOS</t>
        </is>
      </c>
      <c r="F3254" t="inlineStr"/>
      <c r="G3254" t="inlineStr">
        <is>
          <t>LEANDRA FELIPE/AGÊNCIA BRASIL</t>
        </is>
      </c>
      <c r="H3254" t="inlineStr">
        <is>
          <t>CIDADE NATAL DE CHÁVEZ ESTÁ DIVIDIDA ENTRE VISÃO CRÍTICA E APAIXONADA</t>
        </is>
      </c>
      <c r="I3254" t="inlineStr">
        <is>
          <t>NA PRAÇA BOLÍVAR, NO CENTRO DA CIDADE, ADMIRADORES COLOCAM FAIXAS, VELAS E FLORES AO LADO DAS FOTOS NO MONUMENTO CENTRAL DA PRAÇA</t>
        </is>
      </c>
      <c r="J3254">
        <f>HYPERLINK("https://www.acritica.com/cidade-natal-de-chavez-esta-dividida-entre-vis-o-critica-e-apaixonada-1.130169", "URL")</f>
        <v/>
      </c>
      <c r="K3254">
        <f>HYPERLINK("https://raw.githubusercontent.com/marcosmapl/dataset_imigrantes/main/noticias_filtered/a_critica/venezuelanos/2013/02_mar/html/1.130169_780.html", "HTML")</f>
        <v/>
      </c>
      <c r="L3254">
        <f>HYPERLINK("https://raw.githubusercontent.com/marcosmapl/dataset_imigrantes/main/noticias_filtered/a_critica/venezuelanos/2013/02_mar/txt/1.130169_780.txt", "TXT")</f>
        <v/>
      </c>
    </row>
    <row r="3255">
      <c r="A3255" s="1" t="n">
        <v>3253</v>
      </c>
      <c r="B3255" t="n">
        <v>2013</v>
      </c>
      <c r="C3255" s="2" t="n">
        <v>41349.54717592592</v>
      </c>
      <c r="D3255" t="inlineStr">
        <is>
          <t>A CRITICA</t>
        </is>
      </c>
      <c r="E3255" t="inlineStr">
        <is>
          <t>HAITIANOS</t>
        </is>
      </c>
      <c r="F3255" t="inlineStr">
        <is>
          <t>MANAUS</t>
        </is>
      </c>
      <c r="G3255" t="inlineStr">
        <is>
          <t>ADAN GARANTIZADO</t>
        </is>
      </c>
      <c r="H3255" t="inlineStr">
        <is>
          <t>‘RECEBO AMEAÇAS E ME DESLOCO COM SEGURANÇA’, DIZ RAFAEL LEMOS ASSAYAG EM ENTREVISTA</t>
        </is>
      </c>
      <c r="I3255" t="inlineStr">
        <is>
          <t>SECRETÁRIO PARA REQUALIFICAÇÃO DO CENTRO DE MANAUS, RAFAEL ASSAYAG ENFRENTA DIFICULDADES E AMEAÇAS PARA REALIZAR AS AÇÕES INERENTES À SUA PASTA, MAS GARANTE QUE NÃO VAI ABDICAR DA TAREFA</t>
        </is>
      </c>
      <c r="J3255">
        <f>HYPERLINK("https://www.acritica.com/manaus/recebo-ameacas-e-me-desloco-com-seguranca-diz-rafael-lemos-assayag-em-entrevista-1.119037", "URL")</f>
        <v/>
      </c>
      <c r="K3255">
        <f>HYPERLINK("https://raw.githubusercontent.com/marcosmapl/dataset_imigrantes/main/noticias_filtered/a_critica/haitianos/2013/02_mar/html/1.119037_1351.html", "HTML")</f>
        <v/>
      </c>
      <c r="L3255">
        <f>HYPERLINK("https://raw.githubusercontent.com/marcosmapl/dataset_imigrantes/main/noticias_filtered/a_critica/haitianos/2013/02_mar/txt/1.119037_1351.txt", "TXT")</f>
        <v/>
      </c>
    </row>
    <row r="3256">
      <c r="A3256" s="1" t="n">
        <v>3254</v>
      </c>
      <c r="B3256" t="n">
        <v>2013</v>
      </c>
      <c r="C3256" s="2" t="n">
        <v>41346.66527777778</v>
      </c>
      <c r="D3256" t="inlineStr">
        <is>
          <t>G1</t>
        </is>
      </c>
      <c r="E3256" t="inlineStr">
        <is>
          <t>HAITIANOS</t>
        </is>
      </c>
      <c r="F3256" t="inlineStr"/>
      <c r="G3256" t="inlineStr">
        <is>
          <t xml:space="preserve"> MARCELDO G1 AC</t>
        </is>
      </c>
      <c r="H3256" t="inlineStr">
        <is>
          <t>ÁGUA TRATADA COM CLORO PROVOCA REAÇÃO ALÉRGICA EM HAITIANOS NO ACRE</t>
        </is>
      </c>
      <c r="I3256" t="inlineStr"/>
      <c r="J3256">
        <f>HYPERLINK("http://g1.globo.com/ac/acre/noticia/2013/03/agua-tratada-com-cloro-provoca-reacao-alergica-em-haitianos-no-acre.html", "URL")</f>
        <v/>
      </c>
      <c r="K3256">
        <f>HYPERLINK("https://raw.githubusercontent.com/marcosmapl/dataset_imigrantes/main/noticias_filtered/g1/haitianos/2013/02_mar/html/g1_108e8fa0-22f2-11ed-b24f-6dbe51e79fca_1777.html", "HTML")</f>
        <v/>
      </c>
      <c r="L3256">
        <f>HYPERLINK("https://raw.githubusercontent.com/marcosmapl/dataset_imigrantes/main/noticias_filtered/g1/haitianos/2013/02_mar/txt/g1_108e8fa0-22f2-11ed-b24f-6dbe51e79fca_1777.txt", "TXT")</f>
        <v/>
      </c>
    </row>
    <row r="3257">
      <c r="A3257" s="1" t="n">
        <v>3255</v>
      </c>
      <c r="B3257" t="n">
        <v>2013</v>
      </c>
      <c r="C3257" s="2" t="n">
        <v>41346.06458333333</v>
      </c>
      <c r="D3257" t="inlineStr">
        <is>
          <t>A CRITICA</t>
        </is>
      </c>
      <c r="E3257" t="inlineStr">
        <is>
          <t>VENEZUELANOS</t>
        </is>
      </c>
      <c r="F3257" t="inlineStr">
        <is>
          <t>ESPORTES</t>
        </is>
      </c>
      <c r="G3257" t="inlineStr">
        <is>
          <t>ACRÍTICA.COM</t>
        </is>
      </c>
      <c r="H3257" t="inlineStr">
        <is>
          <t>CARACAS VENCE GRÊMIO POR 2 X 1</t>
        </is>
      </c>
      <c r="I3257" t="inlineStr">
        <is>
          <t>JOGANDO EM CASA, O CARACAS DA VENEZUELA VENCEU O TIME BRASILEIRO DE VIRADA E EMBOLOU TUDO NO GRUPO DA LIBERTADORES.</t>
        </is>
      </c>
      <c r="J3257">
        <f>HYPERLINK("https://www.acritica.com/esportes/caracas-vence-gremio-por-2-x-1-1.120422", "URL")</f>
        <v/>
      </c>
      <c r="K3257">
        <f>HYPERLINK("https://raw.githubusercontent.com/marcosmapl/dataset_imigrantes/main/noticias_filtered/a_critica/venezuelanos/2013/02_mar/html/1.120422_1342.html", "HTML")</f>
        <v/>
      </c>
      <c r="L3257">
        <f>HYPERLINK("https://raw.githubusercontent.com/marcosmapl/dataset_imigrantes/main/noticias_filtered/a_critica/venezuelanos/2013/02_mar/txt/1.120422_1342.txt", "TXT")</f>
        <v/>
      </c>
    </row>
    <row r="3258">
      <c r="A3258" s="1" t="n">
        <v>3256</v>
      </c>
      <c r="B3258" t="n">
        <v>2013</v>
      </c>
      <c r="C3258" s="2" t="n">
        <v>41345.5125</v>
      </c>
      <c r="D3258" t="inlineStr">
        <is>
          <t>G1</t>
        </is>
      </c>
      <c r="E3258" t="inlineStr">
        <is>
          <t>VENEZUELANOS</t>
        </is>
      </c>
      <c r="F3258" t="inlineStr"/>
      <c r="G3258" t="inlineStr">
        <is>
          <t>ERS</t>
        </is>
      </c>
      <c r="H3258" t="inlineStr">
        <is>
          <t>ENTREVISTA-OPOSIÇÃO VENEZUELANA BASEARÁ CAMPANHA NAS "MENTIRAS" DO GOVERNO</t>
        </is>
      </c>
      <c r="I3258" t="inlineStr"/>
      <c r="J3258">
        <f>HYPERLINK("http://g1.globo.com/mundo/noticia/2013/03/entrevista-oposicao-venezuelana-baseara-campanha-nas-mentiras-do-governo-1.html", "URL")</f>
        <v/>
      </c>
      <c r="K3258">
        <f>HYPERLINK("https://raw.githubusercontent.com/marcosmapl/dataset_imigrantes/main/noticias_filtered/g1/venezuelanos/2013/02_mar/html/g1_422d50bc-232b-11ed-b24f-6dbe51e79fca_4234.html", "HTML")</f>
        <v/>
      </c>
      <c r="L3258">
        <f>HYPERLINK("https://raw.githubusercontent.com/marcosmapl/dataset_imigrantes/main/noticias_filtered/g1/venezuelanos/2013/02_mar/txt/g1_422d50bc-232b-11ed-b24f-6dbe51e79fca_4234.txt", "TXT")</f>
        <v/>
      </c>
    </row>
    <row r="3259">
      <c r="A3259" s="1" t="n">
        <v>3257</v>
      </c>
      <c r="B3259" t="n">
        <v>2013</v>
      </c>
      <c r="C3259" s="2" t="n">
        <v>41345.50833333333</v>
      </c>
      <c r="D3259" t="inlineStr">
        <is>
          <t>G1</t>
        </is>
      </c>
      <c r="E3259" t="inlineStr">
        <is>
          <t>VENEZUELANOS</t>
        </is>
      </c>
      <c r="F3259" t="inlineStr"/>
      <c r="G3259" t="inlineStr">
        <is>
          <t>ERS</t>
        </is>
      </c>
      <c r="H3259" t="inlineStr">
        <is>
          <t>ENTREVISTA-OPOSIÇÃO VENEZUELANA BASEARÁ CAMPANHA NAS "MENTIRAS" DO GOVERNO</t>
        </is>
      </c>
      <c r="I3259" t="inlineStr"/>
      <c r="J3259">
        <f>HYPERLINK("http://g1.globo.com/mundo/noticia/2013/03/entrevista-oposicao-venezuelana-baseara-campanha-nas-mentiras-do-governo.html", "URL")</f>
        <v/>
      </c>
      <c r="K3259">
        <f>HYPERLINK("https://raw.githubusercontent.com/marcosmapl/dataset_imigrantes/main/noticias_filtered/g1/venezuelanos/2013/02_mar/html/g1_edb2b8bc-2328-11ed-b24f-6dbe51e79fca_4090.html", "HTML")</f>
        <v/>
      </c>
      <c r="L3259">
        <f>HYPERLINK("https://raw.githubusercontent.com/marcosmapl/dataset_imigrantes/main/noticias_filtered/g1/venezuelanos/2013/02_mar/txt/g1_edb2b8bc-2328-11ed-b24f-6dbe51e79fca_4090.txt", "TXT")</f>
        <v/>
      </c>
    </row>
    <row r="3260">
      <c r="A3260" s="1" t="n">
        <v>3258</v>
      </c>
      <c r="B3260" t="n">
        <v>2013</v>
      </c>
      <c r="C3260" s="2" t="n">
        <v>41344.57916666667</v>
      </c>
      <c r="D3260" t="inlineStr">
        <is>
          <t>G1</t>
        </is>
      </c>
      <c r="E3260" t="inlineStr">
        <is>
          <t>VENEZUELANOS</t>
        </is>
      </c>
      <c r="F3260" t="inlineStr"/>
      <c r="G3260" t="inlineStr">
        <is>
          <t>ERS</t>
        </is>
      </c>
      <c r="H3260" t="inlineStr">
        <is>
          <t>CAPRILES E MADURO TROCAM ACUSAÇÕES EM DURA CAMPANHA VENEZUELANA</t>
        </is>
      </c>
      <c r="I3260" t="inlineStr"/>
      <c r="J3260">
        <f>HYPERLINK("http://g1.globo.com/mundo/noticia/2013/03/capriles-e-maduro-trocam-acusacoes-em-dura-campanha-venezuelana-1.html", "URL")</f>
        <v/>
      </c>
      <c r="K3260">
        <f>HYPERLINK("https://raw.githubusercontent.com/marcosmapl/dataset_imigrantes/main/noticias_filtered/g1/venezuelanos/2013/02_mar/html/g1_6029295e-230f-11ed-b24f-6dbe51e79fca_2792.html", "HTML")</f>
        <v/>
      </c>
      <c r="L3260">
        <f>HYPERLINK("https://raw.githubusercontent.com/marcosmapl/dataset_imigrantes/main/noticias_filtered/g1/venezuelanos/2013/02_mar/txt/g1_6029295e-230f-11ed-b24f-6dbe51e79fca_2792.txt", "TXT")</f>
        <v/>
      </c>
    </row>
    <row r="3261">
      <c r="A3261" s="1" t="n">
        <v>3259</v>
      </c>
      <c r="B3261" t="n">
        <v>2013</v>
      </c>
      <c r="C3261" s="2" t="n">
        <v>41344.57916666667</v>
      </c>
      <c r="D3261" t="inlineStr">
        <is>
          <t>G1</t>
        </is>
      </c>
      <c r="E3261" t="inlineStr">
        <is>
          <t>VENEZUELANOS</t>
        </is>
      </c>
      <c r="F3261" t="inlineStr"/>
      <c r="G3261" t="inlineStr">
        <is>
          <t>ERS</t>
        </is>
      </c>
      <c r="H3261" t="inlineStr">
        <is>
          <t>CAPRILES E MADURO TROCAM ACUSAÇÕES EM DURA CAMPANHA VENEZUELANA</t>
        </is>
      </c>
      <c r="I3261" t="inlineStr"/>
      <c r="J3261">
        <f>HYPERLINK("http://g1.globo.com/mundo/noticia/2013/03/capriles-e-maduro-trocam-acusacoes-em-dura-campanha-venezuelana.html", "URL")</f>
        <v/>
      </c>
      <c r="K3261">
        <f>HYPERLINK("https://raw.githubusercontent.com/marcosmapl/dataset_imigrantes/main/noticias_filtered/g1/venezuelanos/2013/02_mar/html/g1_41b70e4c-232c-11ed-b24f-6dbe51e79fca_4294.html", "HTML")</f>
        <v/>
      </c>
      <c r="L3261">
        <f>HYPERLINK("https://raw.githubusercontent.com/marcosmapl/dataset_imigrantes/main/noticias_filtered/g1/venezuelanos/2013/02_mar/txt/g1_41b70e4c-232c-11ed-b24f-6dbe51e79fca_4294.txt", "TXT")</f>
        <v/>
      </c>
    </row>
    <row r="3262">
      <c r="A3262" s="1" t="n">
        <v>3260</v>
      </c>
      <c r="B3262" t="n">
        <v>2013</v>
      </c>
      <c r="C3262" s="2" t="n">
        <v>41343.94166666667</v>
      </c>
      <c r="D3262" t="inlineStr">
        <is>
          <t>G1</t>
        </is>
      </c>
      <c r="E3262" t="inlineStr">
        <is>
          <t>VENEZUELANOS</t>
        </is>
      </c>
      <c r="F3262" t="inlineStr"/>
      <c r="G3262" t="inlineStr">
        <is>
          <t>CE PRESSE</t>
        </is>
      </c>
      <c r="H3262" t="inlineStr">
        <is>
          <t>CAPRILES ENFRENTARÁ MADURO NAS ELEIÇÕES VENEZUELANAS</t>
        </is>
      </c>
      <c r="I3262" t="inlineStr"/>
      <c r="J3262">
        <f>HYPERLINK("http://g1.globo.com/mundo/noticia/2013/03/capriles-enfrentara-maduro-nas-eleicoes-venezuelanas-1.html", "URL")</f>
        <v/>
      </c>
      <c r="K3262">
        <f>HYPERLINK("https://raw.githubusercontent.com/marcosmapl/dataset_imigrantes/main/noticias_filtered/g1/venezuelanos/2013/02_mar/html/g1_5088c63a-231e-11ed-b24f-6dbe51e79fca_3553.html", "HTML")</f>
        <v/>
      </c>
      <c r="L3262">
        <f>HYPERLINK("https://raw.githubusercontent.com/marcosmapl/dataset_imigrantes/main/noticias_filtered/g1/venezuelanos/2013/02_mar/txt/g1_5088c63a-231e-11ed-b24f-6dbe51e79fca_3553.txt", "TXT")</f>
        <v/>
      </c>
    </row>
    <row r="3263">
      <c r="A3263" s="1" t="n">
        <v>3261</v>
      </c>
      <c r="B3263" t="n">
        <v>2013</v>
      </c>
      <c r="C3263" s="2" t="n">
        <v>41343.9125</v>
      </c>
      <c r="D3263" t="inlineStr">
        <is>
          <t>G1</t>
        </is>
      </c>
      <c r="E3263" t="inlineStr">
        <is>
          <t>VENEZUELANOS</t>
        </is>
      </c>
      <c r="F3263" t="inlineStr"/>
      <c r="G3263" t="inlineStr">
        <is>
          <t>CE PRESSE</t>
        </is>
      </c>
      <c r="H3263" t="inlineStr">
        <is>
          <t>CAPRILES ENFRENTARÁ MADURO NAS ELEIÇÕES VENEZUELANAS</t>
        </is>
      </c>
      <c r="I3263" t="inlineStr"/>
      <c r="J3263">
        <f>HYPERLINK("http://g1.globo.com/mundo/noticia/2013/03/capriles-enfrentara-maduro-nas-eleicoes-venezuelanas.html", "URL")</f>
        <v/>
      </c>
      <c r="K3263">
        <f>HYPERLINK("https://raw.githubusercontent.com/marcosmapl/dataset_imigrantes/main/noticias_filtered/g1/venezuelanos/2013/02_mar/html/g1_e9ed7fde-231c-11ed-b24f-6dbe51e79fca_3473.html", "HTML")</f>
        <v/>
      </c>
      <c r="L3263">
        <f>HYPERLINK("https://raw.githubusercontent.com/marcosmapl/dataset_imigrantes/main/noticias_filtered/g1/venezuelanos/2013/02_mar/txt/g1_e9ed7fde-231c-11ed-b24f-6dbe51e79fca_3473.txt", "TXT")</f>
        <v/>
      </c>
    </row>
    <row r="3264">
      <c r="A3264" s="1" t="n">
        <v>3262</v>
      </c>
      <c r="B3264" t="n">
        <v>2013</v>
      </c>
      <c r="C3264" s="2" t="n">
        <v>41343.84201388889</v>
      </c>
      <c r="D3264" t="inlineStr">
        <is>
          <t>A CRITICA</t>
        </is>
      </c>
      <c r="E3264" t="inlineStr">
        <is>
          <t>VENEZUELANOS</t>
        </is>
      </c>
      <c r="F3264" t="inlineStr"/>
      <c r="G3264" t="inlineStr">
        <is>
          <t>AGÊNCIA BRASIL</t>
        </is>
      </c>
      <c r="H3264" t="inlineStr">
        <is>
          <t>MADURO INSCREVE CANDIDATURA NESTA SEGUNDA-FEIRA (11)</t>
        </is>
      </c>
      <c r="I3264" t="inlineStr">
        <is>
          <t>AS ELEIÇÕES PARA A PRESIDÊNCIA DA VENEZUELA ESTÃO MARCADAS PARA O DIA 14 DE ABRIL</t>
        </is>
      </c>
      <c r="J3264">
        <f>HYPERLINK("https://www.acritica.com/maduro-inscreve-candidatura-nesta-segunda-feira-11-1.129459", "URL")</f>
        <v/>
      </c>
      <c r="K3264">
        <f>HYPERLINK("https://raw.githubusercontent.com/marcosmapl/dataset_imigrantes/main/noticias_filtered/a_critica/venezuelanos/2013/02_mar/html/1.129459_958.html", "HTML")</f>
        <v/>
      </c>
      <c r="L3264">
        <f>HYPERLINK("https://raw.githubusercontent.com/marcosmapl/dataset_imigrantes/main/noticias_filtered/a_critica/venezuelanos/2013/02_mar/txt/1.129459_958.txt", "TXT")</f>
        <v/>
      </c>
    </row>
    <row r="3265">
      <c r="A3265" s="1" t="n">
        <v>3263</v>
      </c>
      <c r="B3265" t="n">
        <v>2013</v>
      </c>
      <c r="C3265" s="2" t="n">
        <v>41343.79178240741</v>
      </c>
      <c r="D3265" t="inlineStr">
        <is>
          <t>A CRITICA</t>
        </is>
      </c>
      <c r="E3265" t="inlineStr">
        <is>
          <t>VENEZUELANOS</t>
        </is>
      </c>
      <c r="F3265" t="inlineStr">
        <is>
          <t>ENTRETENIMENTO</t>
        </is>
      </c>
      <c r="G3265" t="inlineStr">
        <is>
          <t>ACRÍTICA.COM</t>
        </is>
      </c>
      <c r="H3265" t="inlineStr">
        <is>
          <t>GABY SPANIC VOLTA AO BRASIL</t>
        </is>
      </c>
      <c r="I3265" t="inlineStr">
        <is>
          <t>EM CONVERSA AO VIVO COM O APRESENTADOR CELSO PORTIOLLI, VIA INTERNET, A INTÉRPRETE DA MALVADA PAOLA BRACHO ACEITOU O CONVITE DE VIR AO BRASIL</t>
        </is>
      </c>
      <c r="J3265">
        <f>HYPERLINK("https://www.acritica.com/entretenimento/gaby-spanic-volta-ao-brasil-1.129473", "URL")</f>
        <v/>
      </c>
      <c r="K3265">
        <f>HYPERLINK("https://raw.githubusercontent.com/marcosmapl/dataset_imigrantes/main/noticias_filtered/a_critica/venezuelanos/2013/02_mar/html/1.129473_255.html", "HTML")</f>
        <v/>
      </c>
      <c r="L3265">
        <f>HYPERLINK("https://raw.githubusercontent.com/marcosmapl/dataset_imigrantes/main/noticias_filtered/a_critica/venezuelanos/2013/02_mar/txt/1.129473_255.txt", "TXT")</f>
        <v/>
      </c>
    </row>
    <row r="3266">
      <c r="A3266" s="1" t="n">
        <v>3264</v>
      </c>
      <c r="B3266" t="n">
        <v>2013</v>
      </c>
      <c r="C3266" s="2" t="n">
        <v>41342.81666666667</v>
      </c>
      <c r="D3266" t="inlineStr">
        <is>
          <t>G1</t>
        </is>
      </c>
      <c r="E3266" t="inlineStr">
        <is>
          <t>VENEZUELANOS</t>
        </is>
      </c>
      <c r="F3266" t="inlineStr"/>
      <c r="G3266" t="inlineStr">
        <is>
          <t>CE PRESSE</t>
        </is>
      </c>
      <c r="H3266" t="inlineStr">
        <is>
          <t>OPOSIÇÃO VENEZUELANA PROPÕE CAPRILES COMO CANDIDATO</t>
        </is>
      </c>
      <c r="I3266" t="inlineStr"/>
      <c r="J3266">
        <f>HYPERLINK("http://g1.globo.com/mundo/noticia/2013/03/oposicao-venezuelana-propoe-capriles-como-candidato-1.html", "URL")</f>
        <v/>
      </c>
      <c r="K3266">
        <f>HYPERLINK("https://raw.githubusercontent.com/marcosmapl/dataset_imigrantes/main/noticias_filtered/g1/venezuelanos/2013/02_mar/html/g1_3be188d4-2314-11ed-b24f-6dbe51e79fca_3053.html", "HTML")</f>
        <v/>
      </c>
      <c r="L3266">
        <f>HYPERLINK("https://raw.githubusercontent.com/marcosmapl/dataset_imigrantes/main/noticias_filtered/g1/venezuelanos/2013/02_mar/txt/g1_3be188d4-2314-11ed-b24f-6dbe51e79fca_3053.txt", "TXT")</f>
        <v/>
      </c>
    </row>
    <row r="3267">
      <c r="A3267" s="1" t="n">
        <v>3265</v>
      </c>
      <c r="B3267" t="n">
        <v>2013</v>
      </c>
      <c r="C3267" s="2" t="n">
        <v>41342.80208333334</v>
      </c>
      <c r="D3267" t="inlineStr">
        <is>
          <t>G1</t>
        </is>
      </c>
      <c r="E3267" t="inlineStr">
        <is>
          <t>VENEZUELANOS</t>
        </is>
      </c>
      <c r="F3267" t="inlineStr"/>
      <c r="G3267" t="inlineStr">
        <is>
          <t>CE PRESSE</t>
        </is>
      </c>
      <c r="H3267" t="inlineStr">
        <is>
          <t>OPOSIÇÃO VENEZUELANA PROPÕE CAPRILES COMO CANDIDATO</t>
        </is>
      </c>
      <c r="I3267" t="inlineStr"/>
      <c r="J3267">
        <f>HYPERLINK("http://g1.globo.com/mundo/noticia/2013/03/oposicao-venezuelana-propoe-capriles-como-candidato.html", "URL")</f>
        <v/>
      </c>
      <c r="K3267">
        <f>HYPERLINK("https://raw.githubusercontent.com/marcosmapl/dataset_imigrantes/main/noticias_filtered/g1/venezuelanos/2013/02_mar/html/g1_ffa2fa8a-231b-11ed-b24f-6dbe51e79fca_3422.html", "HTML")</f>
        <v/>
      </c>
      <c r="L3267">
        <f>HYPERLINK("https://raw.githubusercontent.com/marcosmapl/dataset_imigrantes/main/noticias_filtered/g1/venezuelanos/2013/02_mar/txt/g1_ffa2fa8a-231b-11ed-b24f-6dbe51e79fca_3422.txt", "TXT")</f>
        <v/>
      </c>
    </row>
    <row r="3268">
      <c r="A3268" s="1" t="n">
        <v>3266</v>
      </c>
      <c r="B3268" t="n">
        <v>2013</v>
      </c>
      <c r="C3268" s="2" t="n">
        <v>41342.79791666667</v>
      </c>
      <c r="D3268" t="inlineStr">
        <is>
          <t>G1</t>
        </is>
      </c>
      <c r="E3268" t="inlineStr">
        <is>
          <t>VENEZUELANOS</t>
        </is>
      </c>
      <c r="F3268" t="inlineStr"/>
      <c r="G3268" t="inlineStr">
        <is>
          <t>CE PRESSE</t>
        </is>
      </c>
      <c r="H3268" t="inlineStr">
        <is>
          <t>ELEIÇÕES VENEZUELANAS SERÃO REALIZADAS EM 14 DE ABRIL (CNE)</t>
        </is>
      </c>
      <c r="I3268" t="inlineStr"/>
      <c r="J3268">
        <f>HYPERLINK("http://g1.globo.com/mundo/noticia/2013/03/eleicoes-venezuelanas-serao-realizadas-em-14-de-abril-cne-1.html", "URL")</f>
        <v/>
      </c>
      <c r="K3268">
        <f>HYPERLINK("https://raw.githubusercontent.com/marcosmapl/dataset_imigrantes/main/noticias_filtered/g1/venezuelanos/2013/02_mar/html/g1_60cc8eec-230e-11ed-b24f-6dbe51e79fca_2734.html", "HTML")</f>
        <v/>
      </c>
      <c r="L3268">
        <f>HYPERLINK("https://raw.githubusercontent.com/marcosmapl/dataset_imigrantes/main/noticias_filtered/g1/venezuelanos/2013/02_mar/txt/g1_60cc8eec-230e-11ed-b24f-6dbe51e79fca_2734.txt", "TXT")</f>
        <v/>
      </c>
    </row>
    <row r="3269">
      <c r="A3269" s="1" t="n">
        <v>3267</v>
      </c>
      <c r="B3269" t="n">
        <v>2013</v>
      </c>
      <c r="C3269" s="2" t="n">
        <v>41342.77083333334</v>
      </c>
      <c r="D3269" t="inlineStr">
        <is>
          <t>G1</t>
        </is>
      </c>
      <c r="E3269" t="inlineStr">
        <is>
          <t>VENEZUELANOS</t>
        </is>
      </c>
      <c r="F3269" t="inlineStr"/>
      <c r="G3269" t="inlineStr">
        <is>
          <t>CE PRESSE</t>
        </is>
      </c>
      <c r="H3269" t="inlineStr">
        <is>
          <t>ELEIÇÕES VENEZUELANAS SERÃO REALIZADAS EM 14 DE ABRIL (CNE)</t>
        </is>
      </c>
      <c r="I3269" t="inlineStr"/>
      <c r="J3269">
        <f>HYPERLINK("http://g1.globo.com/mundo/noticia/2013/03/eleicoes-venezuelanas-serao-realizadas-em-14-de-abril-cne.html", "URL")</f>
        <v/>
      </c>
      <c r="K3269">
        <f>HYPERLINK("https://raw.githubusercontent.com/marcosmapl/dataset_imigrantes/main/noticias_filtered/g1/venezuelanos/2013/02_mar/html/g1_4bafe7ec-232d-11ed-b24f-6dbe51e79fca_4350.html", "HTML")</f>
        <v/>
      </c>
      <c r="L3269">
        <f>HYPERLINK("https://raw.githubusercontent.com/marcosmapl/dataset_imigrantes/main/noticias_filtered/g1/venezuelanos/2013/02_mar/txt/g1_4bafe7ec-232d-11ed-b24f-6dbe51e79fca_4350.txt", "TXT")</f>
        <v/>
      </c>
    </row>
    <row r="3270">
      <c r="A3270" s="1" t="n">
        <v>3268</v>
      </c>
      <c r="B3270" t="n">
        <v>2013</v>
      </c>
      <c r="C3270" s="2" t="n">
        <v>41342.67475694444</v>
      </c>
      <c r="D3270" t="inlineStr">
        <is>
          <t>A CRITICA</t>
        </is>
      </c>
      <c r="E3270" t="inlineStr">
        <is>
          <t>VENEZUELANOS</t>
        </is>
      </c>
      <c r="F3270" t="inlineStr"/>
      <c r="G3270" t="inlineStr">
        <is>
          <t>THAIS LEITÃO*/ AGÊNCIA BRASIL</t>
        </is>
      </c>
      <c r="H3270" t="inlineStr">
        <is>
          <t>VENEZUELA: CONSELHO DEFINE NESTE SÁBADO (9) DATA DE ELEIÇÃO NO PAÍS</t>
        </is>
      </c>
      <c r="I3270" t="inlineStr">
        <is>
          <t>O ARTIGO 233 DA CONSTITUIÇÃO VENEZUELANA ESTABELECE QUE NA "AUSÊNCIA TOTAL" DE UM PRESIDENTE ELEITO NOS PRIMEIROS QUATRO ANOS DE MANDATO DEVEM SER CONVOCADAS ELEIÇÕES GERAIS DENTRO DE 30 DIAS</t>
        </is>
      </c>
      <c r="J3270">
        <f>HYPERLINK("https://www.acritica.com/venezuela-conselho-define-neste-sabado-9-data-de-eleic-o-no-pais-1.120546", "URL")</f>
        <v/>
      </c>
      <c r="K3270">
        <f>HYPERLINK("https://raw.githubusercontent.com/marcosmapl/dataset_imigrantes/main/noticias_filtered/a_critica/venezuelanos/2013/02_mar/html/1.120546_289.html", "HTML")</f>
        <v/>
      </c>
      <c r="L3270">
        <f>HYPERLINK("https://raw.githubusercontent.com/marcosmapl/dataset_imigrantes/main/noticias_filtered/a_critica/venezuelanos/2013/02_mar/txt/1.120546_289.txt", "TXT")</f>
        <v/>
      </c>
    </row>
    <row r="3271">
      <c r="A3271" s="1" t="n">
        <v>3269</v>
      </c>
      <c r="B3271" t="n">
        <v>2013</v>
      </c>
      <c r="C3271" s="2" t="n">
        <v>41341.79768518519</v>
      </c>
      <c r="D3271" t="inlineStr">
        <is>
          <t>A CRITICA</t>
        </is>
      </c>
      <c r="E3271" t="inlineStr">
        <is>
          <t>VENEZUELANOS</t>
        </is>
      </c>
      <c r="F3271" t="inlineStr"/>
      <c r="G3271" t="inlineStr">
        <is>
          <t>ACRÍTICA.COM</t>
        </is>
      </c>
      <c r="H3271" t="inlineStr">
        <is>
          <t>"TUDO DEVE FICAR IGUAL", DIZ CORECON-AM SOBRE RELAÇÃO COMERCIAL COM A VENEZUELA</t>
        </is>
      </c>
      <c r="I3271" t="inlineStr">
        <is>
          <t>DURANTE OS 14 ANOS EM QUE ESTEVE NO PODER, CHÁVEZ FICOU CONHECIDO POR NACIONALIZAR EMPRESAS ESTRANGEIRAS E SER CONTRÁRIO AO CAPITALISMO E NEOLIBERALISMO AMERICANO.</t>
        </is>
      </c>
      <c r="J3271">
        <f>HYPERLINK("https://www.acritica.com/tudo-deve-ficar-igual-diz-corecon-am-sobre-relac-o-comercial-com-a-venezuela-1.120633", "URL")</f>
        <v/>
      </c>
      <c r="K3271">
        <f>HYPERLINK("https://raw.githubusercontent.com/marcosmapl/dataset_imigrantes/main/noticias_filtered/a_critica/venezuelanos/2013/02_mar/html/1.120633_120.html", "HTML")</f>
        <v/>
      </c>
      <c r="L3271">
        <f>HYPERLINK("https://raw.githubusercontent.com/marcosmapl/dataset_imigrantes/main/noticias_filtered/a_critica/venezuelanos/2013/02_mar/txt/1.120633_120.txt", "TXT")</f>
        <v/>
      </c>
    </row>
    <row r="3272">
      <c r="A3272" s="1" t="n">
        <v>3270</v>
      </c>
      <c r="B3272" t="n">
        <v>2013</v>
      </c>
      <c r="C3272" s="2" t="n">
        <v>41341.57942129629</v>
      </c>
      <c r="D3272" t="inlineStr">
        <is>
          <t>A CRITICA</t>
        </is>
      </c>
      <c r="E3272" t="inlineStr">
        <is>
          <t>VENEZUELANOS</t>
        </is>
      </c>
      <c r="F3272" t="inlineStr"/>
      <c r="G3272" t="inlineStr">
        <is>
          <t>LEANDRA FELIPE - AGÊNCIA BRASIL</t>
        </is>
      </c>
      <c r="H3272" t="inlineStr">
        <is>
          <t>VISITAÇÃO AO CORPO DE CHÁVEZ FICARÁ ABERTA POR MAIS SETE DIAS</t>
        </is>
      </c>
      <c r="I3272" t="inlineStr">
        <is>
          <t>O ANÚNCIO, FEITO PELO PRESIDENTE EM EXERCÍCIO, NICOLÁS MADURO, ATENDE AO CLAMOR POPULAR, JÁ QUE EM DOIS DIAS DE VISITAÇÃO MILHARES DE PESSOAS NÃO CONSEGUIRAM SE APROXIMAR DA CAPELA DA ACADEMIA MILITAR</t>
        </is>
      </c>
      <c r="J3272">
        <f>HYPERLINK("https://www.acritica.com/visitac-o-ao-corpo-de-chavez-ficara-aberta-por-mais-sete-dias-1.214391", "URL")</f>
        <v/>
      </c>
      <c r="K3272">
        <f>HYPERLINK("https://raw.githubusercontent.com/marcosmapl/dataset_imigrantes/main/noticias_filtered/a_critica/venezuelanos/2013/02_mar/html/1.214391_1212.html", "HTML")</f>
        <v/>
      </c>
      <c r="L3272">
        <f>HYPERLINK("https://raw.githubusercontent.com/marcosmapl/dataset_imigrantes/main/noticias_filtered/a_critica/venezuelanos/2013/02_mar/txt/1.214391_1212.txt", "TXT")</f>
        <v/>
      </c>
    </row>
    <row r="3273">
      <c r="A3273" s="1" t="n">
        <v>3271</v>
      </c>
      <c r="B3273" t="n">
        <v>2013</v>
      </c>
      <c r="C3273" s="2" t="n">
        <v>41340.96768518518</v>
      </c>
      <c r="D3273" t="inlineStr">
        <is>
          <t>A CRITICA</t>
        </is>
      </c>
      <c r="E3273" t="inlineStr">
        <is>
          <t>VENEZUELANOS</t>
        </is>
      </c>
      <c r="F3273" t="inlineStr"/>
      <c r="G3273" t="inlineStr">
        <is>
          <t>TELESUR - AGÊNCIA BRASIL</t>
        </is>
      </c>
      <c r="H3273" t="inlineStr">
        <is>
          <t>CORPO DE HUGO CHÁVEZ SERÁ EMBALSAMADO E VELÓRIO DURARÁ MAIS DE SETE DIAS</t>
        </is>
      </c>
      <c r="I3273" t="inlineStr">
        <is>
          <t>SÃO ESPERADOS PARA OS FUNERAIS REPRESENTANTES DE 33 PAÍSES NA CAPITAL VENEZUELANA. A PRESIDENTA DILMA ROUSSEFF, O EX-PRESIDENTE LULA E O PRESIDENTE DE CUBA, RAÚL CASTRO, JÁ ESTÃO NA VENEZUELA</t>
        </is>
      </c>
      <c r="J3273">
        <f>HYPERLINK("https://www.acritica.com/corpo-de-hugo-chavez-sera-embalsamado-e-velorio-durara-mais-de-sete-dias-1.129136", "URL")</f>
        <v/>
      </c>
      <c r="K3273">
        <f>HYPERLINK("https://raw.githubusercontent.com/marcosmapl/dataset_imigrantes/main/noticias_filtered/a_critica/venezuelanos/2013/02_mar/html/1.129136_46.html", "HTML")</f>
        <v/>
      </c>
      <c r="L3273">
        <f>HYPERLINK("https://raw.githubusercontent.com/marcosmapl/dataset_imigrantes/main/noticias_filtered/a_critica/venezuelanos/2013/02_mar/txt/1.129136_46.txt", "TXT")</f>
        <v/>
      </c>
    </row>
    <row r="3274">
      <c r="A3274" s="1" t="n">
        <v>3272</v>
      </c>
      <c r="B3274" t="n">
        <v>2013</v>
      </c>
      <c r="C3274" s="2" t="n">
        <v>41340.89157407408</v>
      </c>
      <c r="D3274" t="inlineStr">
        <is>
          <t>A CRITICA</t>
        </is>
      </c>
      <c r="E3274" t="inlineStr">
        <is>
          <t>VENEZUELANOS</t>
        </is>
      </c>
      <c r="F3274" t="inlineStr">
        <is>
          <t>AMAZONIA</t>
        </is>
      </c>
      <c r="G3274" t="inlineStr">
        <is>
          <t>ACRITICA.COM*</t>
        </is>
      </c>
      <c r="H3274" t="inlineStr">
        <is>
          <t>PESQUISA DO INPA MOSTRA APLICAÇÃO TÉCNICAS NO PLANTIO CUBIU</t>
        </is>
      </c>
      <c r="I3274" t="inlineStr">
        <is>
          <t>A PESQUISA, DESENVOLVIDA VISANDO GERAÇÃO DE RENDA PARA OS AGRICULTORES FAMILIARES DO AMAZONAS , JÁ ESTÁ DISPONÍVEL EM FORMA DE LIVRO QUE PODE SER ENCONTRADO EM VERSÃO DIGITAL</t>
        </is>
      </c>
      <c r="J3274">
        <f>HYPERLINK("https://www.acritica.com/amazonia/pesquisa-do-inpa-mostra-aplicac-o-tecnicas-no-plantio-cubiu-1.129150", "URL")</f>
        <v/>
      </c>
      <c r="K3274">
        <f>HYPERLINK("https://raw.githubusercontent.com/marcosmapl/dataset_imigrantes/main/noticias_filtered/a_critica/venezuelanos/2013/02_mar/html/1.129150_1213.html", "HTML")</f>
        <v/>
      </c>
      <c r="L3274">
        <f>HYPERLINK("https://raw.githubusercontent.com/marcosmapl/dataset_imigrantes/main/noticias_filtered/a_critica/venezuelanos/2013/02_mar/txt/1.129150_1213.txt", "TXT")</f>
        <v/>
      </c>
    </row>
    <row r="3275">
      <c r="A3275" s="1" t="n">
        <v>3273</v>
      </c>
      <c r="B3275" t="n">
        <v>2013</v>
      </c>
      <c r="C3275" s="2" t="n">
        <v>41340.51667824074</v>
      </c>
      <c r="D3275" t="inlineStr">
        <is>
          <t>A CRITICA</t>
        </is>
      </c>
      <c r="E3275" t="inlineStr">
        <is>
          <t>VENEZUELANOS</t>
        </is>
      </c>
      <c r="F3275" t="inlineStr"/>
      <c r="G3275" t="inlineStr">
        <is>
          <t>ACRÍTICA.COM</t>
        </is>
      </c>
      <c r="H3275" t="inlineStr">
        <is>
          <t>VENEZUELANOS PRESTAM HOMENAGEM A HUGO CHÁVEZ</t>
        </is>
      </c>
      <c r="I3275" t="inlineStr">
        <is>
          <t>PESSOAS CHEGARAM A ESPERAR CERCA DE QUATRO HORAS EM UMA FILA PARA DAREM ADEUS AO “ COMANDANTE”</t>
        </is>
      </c>
      <c r="J3275">
        <f>HYPERLINK("https://www.acritica.com/venezuelanos-prestam-homenagem-a-hugo-chavez-1.128867", "URL")</f>
        <v/>
      </c>
      <c r="K3275">
        <f>HYPERLINK("https://raw.githubusercontent.com/marcosmapl/dataset_imigrantes/main/noticias_filtered/a_critica/venezuelanos/2013/02_mar/html/1.128867_176.html", "HTML")</f>
        <v/>
      </c>
      <c r="L3275">
        <f>HYPERLINK("https://raw.githubusercontent.com/marcosmapl/dataset_imigrantes/main/noticias_filtered/a_critica/venezuelanos/2013/02_mar/txt/1.128867_176.txt", "TXT")</f>
        <v/>
      </c>
    </row>
    <row r="3276">
      <c r="A3276" s="1" t="n">
        <v>3274</v>
      </c>
      <c r="B3276" t="n">
        <v>2013</v>
      </c>
      <c r="C3276" s="2" t="n">
        <v>41339.82668981481</v>
      </c>
      <c r="D3276" t="inlineStr">
        <is>
          <t>A CRITICA</t>
        </is>
      </c>
      <c r="E3276" t="inlineStr">
        <is>
          <t>VENEZUELANOS</t>
        </is>
      </c>
      <c r="F3276" t="inlineStr"/>
      <c r="G3276" t="inlineStr">
        <is>
          <t>VITOR ABDALA/AGÊNCIA BRASIL</t>
        </is>
      </c>
      <c r="H3276" t="inlineStr">
        <is>
          <t>EMIR SADER DESCARTA RISCO DE INSEGURANÇA OU CAOS NA VENEZUELA PÓS-CHÁVEZ</t>
        </is>
      </c>
      <c r="I3276" t="inlineStr">
        <is>
          <t>“NADA INDICA [QUE HAVERÁ UM RACHA NO CHAVISMO]. A DECISÃO DO CHÁVEZ FOI MUITO CLARA SOBRE A CONTINUIDADE", DISSE O CIENTISTA POLÍTICO EMIR SADER.</t>
        </is>
      </c>
      <c r="J3276">
        <f>HYPERLINK("https://www.acritica.com/emir-sader-descarta-risco-de-inseguranca-ou-caos-na-venezuela-pos-chavez-1.118872", "URL")</f>
        <v/>
      </c>
      <c r="K3276">
        <f>HYPERLINK("https://raw.githubusercontent.com/marcosmapl/dataset_imigrantes/main/noticias_filtered/a_critica/venezuelanos/2013/02_mar/html/1.118872_733.html", "HTML")</f>
        <v/>
      </c>
      <c r="L3276">
        <f>HYPERLINK("https://raw.githubusercontent.com/marcosmapl/dataset_imigrantes/main/noticias_filtered/a_critica/venezuelanos/2013/02_mar/txt/1.118872_733.txt", "TXT")</f>
        <v/>
      </c>
    </row>
    <row r="3277">
      <c r="A3277" s="1" t="n">
        <v>3275</v>
      </c>
      <c r="B3277" t="n">
        <v>2013</v>
      </c>
      <c r="C3277" s="2" t="n">
        <v>41339.72762731482</v>
      </c>
      <c r="D3277" t="inlineStr">
        <is>
          <t>A CRITICA</t>
        </is>
      </c>
      <c r="E3277" t="inlineStr">
        <is>
          <t>VENEZUELANOS</t>
        </is>
      </c>
      <c r="F3277" t="inlineStr"/>
      <c r="G3277" t="inlineStr">
        <is>
          <t>RENATA GIRALDI/ AGÊNCIA BRASIL</t>
        </is>
      </c>
      <c r="H3277" t="inlineStr">
        <is>
          <t>DILMA ROUSSEFF DECRETA LUTO DE TRÊS DIAS PELA MORTE DE CHÁVEZ</t>
        </is>
      </c>
      <c r="I3277" t="inlineStr">
        <is>
          <t>O ANÚNCIO DA MORTE DO VENEZUELANO FOI FEITO PELO VICE-PRESIDENTE DA VENEZUELA, NICOLÁS MADURO, EM PRONUNCIAMENTO EM REDE NACIONAL DE RÁDIO E TELEVISÃO</t>
        </is>
      </c>
      <c r="J3277">
        <f>HYPERLINK("https://www.acritica.com/dilma-rousseff-decreta-luto-de-tres-dias-pela-morte-de-chavez-1.118918", "URL")</f>
        <v/>
      </c>
      <c r="K3277">
        <f>HYPERLINK("https://raw.githubusercontent.com/marcosmapl/dataset_imigrantes/main/noticias_filtered/a_critica/venezuelanos/2013/02_mar/html/1.118918_1248.html", "HTML")</f>
        <v/>
      </c>
      <c r="L3277">
        <f>HYPERLINK("https://raw.githubusercontent.com/marcosmapl/dataset_imigrantes/main/noticias_filtered/a_critica/venezuelanos/2013/02_mar/txt/1.118918_1248.txt", "TXT")</f>
        <v/>
      </c>
    </row>
    <row r="3278">
      <c r="A3278" s="1" t="n">
        <v>3276</v>
      </c>
      <c r="B3278" t="n">
        <v>2013</v>
      </c>
      <c r="C3278" s="2" t="n">
        <v>41339.68930555556</v>
      </c>
      <c r="D3278" t="inlineStr">
        <is>
          <t>A CRITICA</t>
        </is>
      </c>
      <c r="E3278" t="inlineStr">
        <is>
          <t>VENEZUELANOS</t>
        </is>
      </c>
      <c r="F3278" t="inlineStr"/>
      <c r="G3278" t="inlineStr">
        <is>
          <t>RENATA GIRALDI*/ AGÊNCIA BRASIL</t>
        </is>
      </c>
      <c r="H3278" t="inlineStr">
        <is>
          <t>CORTEJO FÚNEBRE COM O CORPO DE CHÁVEZ SEGUE PELAS PRINCIPAIS RUAS DE CARACAS</t>
        </is>
      </c>
      <c r="I3278" t="inlineStr">
        <is>
          <t>O ENTERRO DE CHÁVEZ ESTÁ MARCADO PARA SEXTA-FEIRA (8) ÀS 10H</t>
        </is>
      </c>
      <c r="J3278">
        <f>HYPERLINK("https://www.acritica.com/cortejo-funebre-com-o-corpo-de-chavez-segue-pelas-principais-ruas-de-caracas-1.214450", "URL")</f>
        <v/>
      </c>
      <c r="K3278">
        <f>HYPERLINK("https://raw.githubusercontent.com/marcosmapl/dataset_imigrantes/main/noticias_filtered/a_critica/venezuelanos/2013/02_mar/html/1.214450_315.html", "HTML")</f>
        <v/>
      </c>
      <c r="L3278">
        <f>HYPERLINK("https://raw.githubusercontent.com/marcosmapl/dataset_imigrantes/main/noticias_filtered/a_critica/venezuelanos/2013/02_mar/txt/1.214450_315.txt", "TXT")</f>
        <v/>
      </c>
    </row>
    <row r="3279">
      <c r="A3279" s="1" t="n">
        <v>3277</v>
      </c>
      <c r="B3279" t="n">
        <v>2013</v>
      </c>
      <c r="C3279" s="2" t="n">
        <v>41339.64541666667</v>
      </c>
      <c r="D3279" t="inlineStr">
        <is>
          <t>A CRITICA</t>
        </is>
      </c>
      <c r="E3279" t="inlineStr">
        <is>
          <t>VENEZUELANOS</t>
        </is>
      </c>
      <c r="F3279" t="inlineStr"/>
      <c r="G3279" t="inlineStr">
        <is>
          <t>RENATA GIRALDI*/ AGÊNCIA BRASIL</t>
        </is>
      </c>
      <c r="H3279" t="inlineStr">
        <is>
          <t>TRÊS PRESIDENTES ESTÃO EM CARACAS PARA O ENTERRO DE CHÁVEZ, DILMA VIAJA NA QUINTA (7)</t>
        </is>
      </c>
      <c r="I3279" t="inlineStr">
        <is>
          <t>OS PRESIDENTES SEBASTIÁN PIÑERA (CHILE) E RAFAEL CORREA (EQUADOR) TAMBÉM DEVEM VIAJAR PARA CARACAS PARA PRESTAR AS ÚLTIMAS HOMENAGENS A CHÁVEZ</t>
        </is>
      </c>
      <c r="J3279">
        <f>HYPERLINK("https://www.acritica.com/tres-presidentes-est-o-em-caracas-para-o-enterro-de-chavez-dilma-viaja-na-quinta-7-1.214481", "URL")</f>
        <v/>
      </c>
      <c r="K3279">
        <f>HYPERLINK("https://raw.githubusercontent.com/marcosmapl/dataset_imigrantes/main/noticias_filtered/a_critica/venezuelanos/2013/02_mar/html/1.214481_864.html", "HTML")</f>
        <v/>
      </c>
      <c r="L3279">
        <f>HYPERLINK("https://raw.githubusercontent.com/marcosmapl/dataset_imigrantes/main/noticias_filtered/a_critica/venezuelanos/2013/02_mar/txt/1.214481_864.txt", "TXT")</f>
        <v/>
      </c>
    </row>
    <row r="3280">
      <c r="A3280" s="1" t="n">
        <v>3278</v>
      </c>
      <c r="B3280" t="n">
        <v>2013</v>
      </c>
      <c r="C3280" s="2" t="n">
        <v>41339.49983796296</v>
      </c>
      <c r="D3280" t="inlineStr">
        <is>
          <t>A CRITICA</t>
        </is>
      </c>
      <c r="E3280" t="inlineStr">
        <is>
          <t>VENEZUELANOS</t>
        </is>
      </c>
      <c r="F3280" t="inlineStr"/>
      <c r="G3280" t="inlineStr">
        <is>
          <t>RENATA GIRALDI*/ AGÊNCIA BRASIL</t>
        </is>
      </c>
      <c r="H3280" t="inlineStr">
        <is>
          <t>MADURO É PRESIDENTE INTERINO E VENEZUELA SE PREPARA PARA IR ÀS URNAS</t>
        </is>
      </c>
      <c r="I3280" t="inlineStr">
        <is>
          <t>NÃO HÁ DETALHES SOBRE A DATA EXATA DAS ELEIÇÕES NA VENEZUELA. NOS ÚLTIMOS MESES, OS ALIADOS DE CHÁVEZ E A OPOSIÇÃO APRESENTARAM INTERPRETAÇÕES DIVERGENTES SOBRE A CONSTITUIÇÃO, EM CASO DA MORTE DO PRESIDENTE DA REPÚBLICA</t>
        </is>
      </c>
      <c r="J3280">
        <f>HYPERLINK("https://www.acritica.com/maduro-e-presidente-interino-e-venezuela-se-prepara-para-ir-as-urnas-1.214552", "URL")</f>
        <v/>
      </c>
      <c r="K3280">
        <f>HYPERLINK("https://raw.githubusercontent.com/marcosmapl/dataset_imigrantes/main/noticias_filtered/a_critica/venezuelanos/2013/02_mar/html/1.214552_1103.html", "HTML")</f>
        <v/>
      </c>
      <c r="L3280">
        <f>HYPERLINK("https://raw.githubusercontent.com/marcosmapl/dataset_imigrantes/main/noticias_filtered/a_critica/venezuelanos/2013/02_mar/txt/1.214552_1103.txt", "TXT")</f>
        <v/>
      </c>
    </row>
    <row r="3281">
      <c r="A3281" s="1" t="n">
        <v>3279</v>
      </c>
      <c r="B3281" t="n">
        <v>2013</v>
      </c>
      <c r="C3281" s="2" t="n">
        <v>41339.0432175926</v>
      </c>
      <c r="D3281" t="inlineStr">
        <is>
          <t>A CRITICA</t>
        </is>
      </c>
      <c r="E3281" t="inlineStr">
        <is>
          <t>VENEZUELANOS</t>
        </is>
      </c>
      <c r="F3281" t="inlineStr"/>
      <c r="G3281" t="inlineStr">
        <is>
          <t>BRUNO STRAHM</t>
        </is>
      </c>
      <c r="H3281" t="inlineStr">
        <is>
          <t>QUEM SUCEDERÁ HUGO CHÁVEZ?</t>
        </is>
      </c>
      <c r="I3281" t="inlineStr">
        <is>
          <t>CHÁVEZ MORRE ANTES DE TERMINAR SEU PROJETO NA VENEZUELA. O PAÍS IRÁ ENFRENTAR NOVAS ELEIÇÕES EM TRINTA DIAS.</t>
        </is>
      </c>
      <c r="J3281">
        <f>HYPERLINK("https://www.acritica.com/quem-sucedera-hugo-chavez-1.128949", "URL")</f>
        <v/>
      </c>
      <c r="K3281">
        <f>HYPERLINK("https://raw.githubusercontent.com/marcosmapl/dataset_imigrantes/main/noticias_filtered/a_critica/venezuelanos/2013/02_mar/html/1.128949_360.html", "HTML")</f>
        <v/>
      </c>
      <c r="L3281">
        <f>HYPERLINK("https://raw.githubusercontent.com/marcosmapl/dataset_imigrantes/main/noticias_filtered/a_critica/venezuelanos/2013/02_mar/txt/1.128949_360.txt", "TXT")</f>
        <v/>
      </c>
    </row>
    <row r="3282">
      <c r="A3282" s="1" t="n">
        <v>3280</v>
      </c>
      <c r="B3282" t="n">
        <v>2013</v>
      </c>
      <c r="C3282" s="2" t="n">
        <v>41338.99505787037</v>
      </c>
      <c r="D3282" t="inlineStr">
        <is>
          <t>A CRITICA</t>
        </is>
      </c>
      <c r="E3282" t="inlineStr">
        <is>
          <t>VENEZUELANOS</t>
        </is>
      </c>
      <c r="F3282" t="inlineStr"/>
      <c r="G3282" t="inlineStr">
        <is>
          <t>ACRÍTICA.COM</t>
        </is>
      </c>
      <c r="H3282" t="inlineStr">
        <is>
          <t>LULA LAMENTA MORTE DE HUGO CHÁVEZ</t>
        </is>
      </c>
      <c r="I3282" t="inlineStr">
        <is>
          <t>O EX-PRESIDENTE LANÇOU UMA NOTA OFICIAL SOBRE A MORTE DO PRESIDENTE DA VENEZUELA.</t>
        </is>
      </c>
      <c r="J3282">
        <f>HYPERLINK("https://www.acritica.com/lula-lamenta-morte-de-hugo-chavez-1.128945", "URL")</f>
        <v/>
      </c>
      <c r="K3282">
        <f>HYPERLINK("https://raw.githubusercontent.com/marcosmapl/dataset_imigrantes/main/noticias_filtered/a_critica/venezuelanos/2013/02_mar/html/1.128945_121.html", "HTML")</f>
        <v/>
      </c>
      <c r="L3282">
        <f>HYPERLINK("https://raw.githubusercontent.com/marcosmapl/dataset_imigrantes/main/noticias_filtered/a_critica/venezuelanos/2013/02_mar/txt/1.128945_121.txt", "TXT")</f>
        <v/>
      </c>
    </row>
    <row r="3283">
      <c r="A3283" s="1" t="n">
        <v>3281</v>
      </c>
      <c r="B3283" t="n">
        <v>2013</v>
      </c>
      <c r="C3283" s="2" t="n">
        <v>41338.94144675926</v>
      </c>
      <c r="D3283" t="inlineStr">
        <is>
          <t>A CRITICA</t>
        </is>
      </c>
      <c r="E3283" t="inlineStr">
        <is>
          <t>VENEZUELANOS</t>
        </is>
      </c>
      <c r="F3283" t="inlineStr"/>
      <c r="G3283" t="inlineStr">
        <is>
          <t>AGÊNCIA BRASIL</t>
        </is>
      </c>
      <c r="H3283" t="inlineStr">
        <is>
          <t>MADURO CONVOCA POPULAÇÃO A FAZER HOMENAGEM A CHÁVEZ</t>
        </is>
      </c>
      <c r="I3283" t="inlineStr">
        <is>
          <t>COM A VOZ EMBARGADA, MADURO PEDIU PARA QUE TODOS OCUPEM AS RUAS AO REDOR DO HOSPITAL MILITAR DE CARACAS, ONDE O PRESIDENTE ESTAVA INTERNADO</t>
        </is>
      </c>
      <c r="J3283">
        <f>HYPERLINK("https://www.acritica.com/maduro-convoca-populac-o-a-fazer-homenagem-a-chavez-1.136231", "URL")</f>
        <v/>
      </c>
      <c r="K3283">
        <f>HYPERLINK("https://raw.githubusercontent.com/marcosmapl/dataset_imigrantes/main/noticias_filtered/a_critica/venezuelanos/2013/02_mar/html/1.136231_1077.html", "HTML")</f>
        <v/>
      </c>
      <c r="L3283">
        <f>HYPERLINK("https://raw.githubusercontent.com/marcosmapl/dataset_imigrantes/main/noticias_filtered/a_critica/venezuelanos/2013/02_mar/txt/1.136231_1077.txt", "TXT")</f>
        <v/>
      </c>
    </row>
    <row r="3284">
      <c r="A3284" s="1" t="n">
        <v>3282</v>
      </c>
      <c r="B3284" t="n">
        <v>2013</v>
      </c>
      <c r="C3284" s="2" t="n">
        <v>41338.93466435185</v>
      </c>
      <c r="D3284" t="inlineStr">
        <is>
          <t>A CRITICA</t>
        </is>
      </c>
      <c r="E3284" t="inlineStr">
        <is>
          <t>VENEZUELANOS</t>
        </is>
      </c>
      <c r="F3284" t="inlineStr"/>
      <c r="G3284" t="inlineStr">
        <is>
          <t>ACRÍTICA.COM</t>
        </is>
      </c>
      <c r="H3284" t="inlineStr">
        <is>
          <t>MORRE PRESIDENTE DA VENEZUELA HUGO CHÁVEZ</t>
        </is>
      </c>
      <c r="I3284" t="inlineStr">
        <is>
          <t>O PRESIDENTE DA VENEZUELA FALECEU AOS 58 ANOS APÓS LUTAR CONTRA UM CÂNCER DE PRÓSTATA.</t>
        </is>
      </c>
      <c r="J3284">
        <f>HYPERLINK("https://www.acritica.com/morre-presidente-da-venezuela-hugo-chavez-1.214577", "URL")</f>
        <v/>
      </c>
      <c r="K3284">
        <f>HYPERLINK("https://raw.githubusercontent.com/marcosmapl/dataset_imigrantes/main/noticias_filtered/a_critica/venezuelanos/2013/02_mar/html/1.214577_177.html", "HTML")</f>
        <v/>
      </c>
      <c r="L3284">
        <f>HYPERLINK("https://raw.githubusercontent.com/marcosmapl/dataset_imigrantes/main/noticias_filtered/a_critica/venezuelanos/2013/02_mar/txt/1.214577_177.txt", "TXT")</f>
        <v/>
      </c>
    </row>
    <row r="3285">
      <c r="A3285" s="1" t="n">
        <v>3283</v>
      </c>
      <c r="B3285" t="n">
        <v>2013</v>
      </c>
      <c r="C3285" s="2" t="n">
        <v>41338.85416666666</v>
      </c>
      <c r="D3285" t="inlineStr">
        <is>
          <t>G1</t>
        </is>
      </c>
      <c r="E3285" t="inlineStr">
        <is>
          <t>VENEZUELANOS</t>
        </is>
      </c>
      <c r="F3285" t="inlineStr"/>
      <c r="G3285" t="inlineStr">
        <is>
          <t>ERS</t>
        </is>
      </c>
      <c r="H3285" t="inlineStr">
        <is>
          <t>LÍDER DA OPOSIÇÃO VENEZUELANA PEDE UNIDADE APÓS MORTE DE CHÁVEZ</t>
        </is>
      </c>
      <c r="I3285" t="inlineStr"/>
      <c r="J3285">
        <f>HYPERLINK("http://g1.globo.com/mundo/noticia/2013/03/lider-da-oposicao-venezuelana-pede-unidade-apos-morte-de-chavez.html", "URL")</f>
        <v/>
      </c>
      <c r="K3285">
        <f>HYPERLINK("https://raw.githubusercontent.com/marcosmapl/dataset_imigrantes/main/noticias_filtered/g1/venezuelanos/2013/02_mar/html/g1_b65c410a-2326-11ed-b24f-6dbe51e79fca_3994.html", "HTML")</f>
        <v/>
      </c>
      <c r="L3285">
        <f>HYPERLINK("https://raw.githubusercontent.com/marcosmapl/dataset_imigrantes/main/noticias_filtered/g1/venezuelanos/2013/02_mar/txt/g1_b65c410a-2326-11ed-b24f-6dbe51e79fca_3994.txt", "TXT")</f>
        <v/>
      </c>
    </row>
    <row r="3286">
      <c r="A3286" s="1" t="n">
        <v>3284</v>
      </c>
      <c r="B3286" t="n">
        <v>2013</v>
      </c>
      <c r="C3286" s="2" t="n">
        <v>41338.50180555556</v>
      </c>
      <c r="D3286" t="inlineStr">
        <is>
          <t>A CRITICA</t>
        </is>
      </c>
      <c r="E3286" t="inlineStr">
        <is>
          <t>VENEZUELANOS</t>
        </is>
      </c>
      <c r="F3286" t="inlineStr"/>
      <c r="G3286" t="inlineStr">
        <is>
          <t>LEANDRA FELIPE* CORRESPONDENTE AGÊNCIA BRASIL/EBC</t>
        </is>
      </c>
      <c r="H3286" t="inlineStr">
        <is>
          <t>GOVERNO VENEZUELANO ANUNCIA PIORA NO ESTADO DE SAÚDE DO PRESIDENTE CHÁVEZ</t>
        </is>
      </c>
      <c r="I3286" t="inlineStr">
        <is>
          <t>“EXISTE UMA PIORA DA FUNÇÃO RESPIRATÓRIA”, DISSE ERNERTO VILLEGAS AO LER UM COMUNICADOA EM CADEIA NACIONAL DE RÁDIO E TELEVISÃO</t>
        </is>
      </c>
      <c r="J3286">
        <f>HYPERLINK("https://www.acritica.com/governo-venezuelano-anuncia-piora-no-estado-de-saude-do-presidente-chavez-1.128826", "URL")</f>
        <v/>
      </c>
      <c r="K3286">
        <f>HYPERLINK("https://raw.githubusercontent.com/marcosmapl/dataset_imigrantes/main/noticias_filtered/a_critica/venezuelanos/2013/02_mar/html/1.128826_1200.html", "HTML")</f>
        <v/>
      </c>
      <c r="L3286">
        <f>HYPERLINK("https://raw.githubusercontent.com/marcosmapl/dataset_imigrantes/main/noticias_filtered/a_critica/venezuelanos/2013/02_mar/txt/1.128826_1200.txt", "TXT")</f>
        <v/>
      </c>
    </row>
    <row r="3287">
      <c r="A3287" s="1" t="n">
        <v>3285</v>
      </c>
      <c r="B3287" t="n">
        <v>2013</v>
      </c>
      <c r="C3287" s="2" t="n">
        <v>41335.54451388889</v>
      </c>
      <c r="D3287" t="inlineStr">
        <is>
          <t>A CRITICA</t>
        </is>
      </c>
      <c r="E3287" t="inlineStr">
        <is>
          <t>VENEZUELANOS</t>
        </is>
      </c>
      <c r="F3287" t="inlineStr"/>
      <c r="G3287" t="inlineStr">
        <is>
          <t>LEANDRA FELIPE*/AGÊNCIA BRASIL</t>
        </is>
      </c>
      <c r="H3287" t="inlineStr">
        <is>
          <t>GOVERNO DA VENEZUELA REAFIRMA QUE CHÁVEZ ESTÁ INTERNADO NO HOSPITAL MILITAR DE CARACAS</t>
        </is>
      </c>
      <c r="I3287" t="inlineStr">
        <is>
          <t>“ELE ESTÁ MUITO TRANQUILO, ACOMPANHADO DE SEUS MÉDICOS E PARENTES”, DISSE O MINISTRO DA CIÊNCIA E TECNOLOGIA, JORGE ARREAZA, QUE QUALIFICOU COMO “GUERRA PSICOLÓGICA”, A DIVULGAÇÃO DE RUMORES SOBRE A PIORA DE CHÁVEZ NAS REDES SOCIAIS</t>
        </is>
      </c>
      <c r="J3287">
        <f>HYPERLINK("https://www.acritica.com/governo-da-venezuela-reafirma-que-chavez-esta-internado-no-hospital-militar-de-caracas-1.214733", "URL")</f>
        <v/>
      </c>
      <c r="K3287">
        <f>HYPERLINK("https://raw.githubusercontent.com/marcosmapl/dataset_imigrantes/main/noticias_filtered/a_critica/venezuelanos/2013/02_mar/html/1.214733_1040.html", "HTML")</f>
        <v/>
      </c>
      <c r="L3287">
        <f>HYPERLINK("https://raw.githubusercontent.com/marcosmapl/dataset_imigrantes/main/noticias_filtered/a_critica/venezuelanos/2013/02_mar/txt/1.214733_1040.txt", "TXT")</f>
        <v/>
      </c>
    </row>
    <row r="3288">
      <c r="A3288" s="1" t="n">
        <v>3286</v>
      </c>
      <c r="B3288" t="n">
        <v>2013</v>
      </c>
      <c r="C3288" s="2" t="n">
        <v>41334.55486111111</v>
      </c>
      <c r="D3288" t="inlineStr">
        <is>
          <t>G1</t>
        </is>
      </c>
      <c r="E3288" t="inlineStr">
        <is>
          <t>HAITIANOS</t>
        </is>
      </c>
      <c r="F3288" t="inlineStr"/>
      <c r="G3288" t="inlineStr">
        <is>
          <t>1 TRIÂNGULO MINEIRO</t>
        </is>
      </c>
      <c r="H3288" t="inlineStr">
        <is>
          <t>HAITIANOS SÃO CONTRATADOS DEVIDO À FALTA DE MÃO DE OBRA EM UBERABA, MG</t>
        </is>
      </c>
      <c r="I3288" t="inlineStr"/>
      <c r="J3288">
        <f>HYPERLINK("http://g1.globo.com/minas-gerais/triangulo-mineiro/noticia/2013/03/haitianos-sao-contratados-devido-falta-de-mao-de-obra-em-uberaba-mg.html", "URL")</f>
        <v/>
      </c>
      <c r="K3288">
        <f>HYPERLINK("https://raw.githubusercontent.com/marcosmapl/dataset_imigrantes/main/noticias_filtered/g1/haitianos/2013/02_mar/html/g1_3cc54e52-22f6-11ed-b24f-6dbe51e79fca_2002.html", "HTML")</f>
        <v/>
      </c>
      <c r="L3288">
        <f>HYPERLINK("https://raw.githubusercontent.com/marcosmapl/dataset_imigrantes/main/noticias_filtered/g1/haitianos/2013/02_mar/txt/g1_3cc54e52-22f6-11ed-b24f-6dbe51e79fca_2002.txt", "TXT")</f>
        <v/>
      </c>
    </row>
    <row r="3289">
      <c r="A3289" s="1" t="n">
        <v>3287</v>
      </c>
      <c r="B3289" t="n">
        <v>2013</v>
      </c>
      <c r="C3289" s="2" t="n">
        <v>41333.88541666666</v>
      </c>
      <c r="D3289" t="inlineStr">
        <is>
          <t>G1</t>
        </is>
      </c>
      <c r="E3289" t="inlineStr">
        <is>
          <t>HAITIANOS</t>
        </is>
      </c>
      <c r="F3289" t="inlineStr"/>
      <c r="G3289" t="inlineStr">
        <is>
          <t>ERS</t>
        </is>
      </c>
      <c r="H3289" t="inlineStr">
        <is>
          <t>EX-DITADOR HAITIANO "BABY DOC" VAI PELA 1A VEZ A TRIBUNAL PARA SER JULGADO</t>
        </is>
      </c>
      <c r="I3289" t="inlineStr"/>
      <c r="J3289">
        <f>HYPERLINK("http://g1.globo.com/mundo/noticia/2013/02/ex-ditador-haitiano-baby-doc-vai-pela-1a-vez-a-tribunal-para-ser-julgado.html", "URL")</f>
        <v/>
      </c>
      <c r="K3289">
        <f>HYPERLINK("https://raw.githubusercontent.com/marcosmapl/dataset_imigrantes/main/noticias_filtered/g1/haitianos/2013/01_fev/html/g1_568b497e-232b-11ed-b24f-6dbe51e79fca_4239.html", "HTML")</f>
        <v/>
      </c>
      <c r="L3289">
        <f>HYPERLINK("https://raw.githubusercontent.com/marcosmapl/dataset_imigrantes/main/noticias_filtered/g1/haitianos/2013/01_fev/txt/g1_568b497e-232b-11ed-b24f-6dbe51e79fca_4239.txt", "TXT")</f>
        <v/>
      </c>
    </row>
    <row r="3290">
      <c r="A3290" s="1" t="n">
        <v>3288</v>
      </c>
      <c r="B3290" t="n">
        <v>2013</v>
      </c>
      <c r="C3290" s="2" t="n">
        <v>41333.33541666667</v>
      </c>
      <c r="D3290" t="inlineStr">
        <is>
          <t>G1</t>
        </is>
      </c>
      <c r="E3290" t="inlineStr">
        <is>
          <t>HAITIANOS</t>
        </is>
      </c>
      <c r="F3290" t="inlineStr"/>
      <c r="G3290" t="inlineStr"/>
      <c r="H3290" t="inlineStr">
        <is>
          <t>SEM EMPREGO, HAITIANOS PERAMBULAM POR CIDADES DO ACRE</t>
        </is>
      </c>
      <c r="I3290" t="inlineStr"/>
      <c r="J3290">
        <f>HYPERLINK("http://g1.globo.com/brasil/noticia/2013/02/sem-emprego-haitianos-perambulam-por-cidades-do-acre.html", "URL")</f>
        <v/>
      </c>
      <c r="K3290">
        <f>HYPERLINK("https://raw.githubusercontent.com/marcosmapl/dataset_imigrantes/main/noticias_filtered/g1/haitianos/2013/01_fev/html/g1_23dfef2c-22ed-11ed-b24f-6dbe51e79fca_1680.html", "HTML")</f>
        <v/>
      </c>
      <c r="L3290">
        <f>HYPERLINK("https://raw.githubusercontent.com/marcosmapl/dataset_imigrantes/main/noticias_filtered/g1/haitianos/2013/01_fev/txt/g1_23dfef2c-22ed-11ed-b24f-6dbe51e79fca_1680.txt", "TXT")</f>
        <v/>
      </c>
    </row>
    <row r="3291">
      <c r="A3291" s="1" t="n">
        <v>3289</v>
      </c>
      <c r="B3291" t="n">
        <v>2013</v>
      </c>
      <c r="C3291" s="2" t="n">
        <v>41332.44872685185</v>
      </c>
      <c r="D3291" t="inlineStr">
        <is>
          <t>A CRITICA</t>
        </is>
      </c>
      <c r="E3291" t="inlineStr">
        <is>
          <t>VENEZUELANOS</t>
        </is>
      </c>
      <c r="F3291" t="inlineStr"/>
      <c r="G3291" t="inlineStr">
        <is>
          <t>NAFÉRSON CRUZ</t>
        </is>
      </c>
      <c r="H3291" t="inlineStr">
        <is>
          <t>ABUSOS EM TERRITÓRIO VENEZUELANO REVOLTAM TURISTAS BRASILEIROS</t>
        </is>
      </c>
      <c r="I3291" t="inlineStr">
        <is>
          <t>RELATOS DE AMAZONENSES QUE FORAM À VENEZUELA DÃO CONTA DE QUE ATÉ ASSASSINATOS OCORREM NO PAÍS VIZINHO; DENÚNCIAS SERÃO LEVADAS AO ITAMARATY</t>
        </is>
      </c>
      <c r="J3291">
        <f>HYPERLINK("https://www.acritica.com/abusos-em-territorio-venezuelano-revoltam-turistas-brasileiros-1.127888", "URL")</f>
        <v/>
      </c>
      <c r="K3291">
        <f>HYPERLINK("https://raw.githubusercontent.com/marcosmapl/dataset_imigrantes/main/noticias_filtered/a_critica/venezuelanos/2013/01_fev/html/1.127888_1304.html", "HTML")</f>
        <v/>
      </c>
      <c r="L3291">
        <f>HYPERLINK("https://raw.githubusercontent.com/marcosmapl/dataset_imigrantes/main/noticias_filtered/a_critica/venezuelanos/2013/01_fev/txt/1.127888_1304.txt", "TXT")</f>
        <v/>
      </c>
    </row>
    <row r="3292">
      <c r="A3292" s="1" t="n">
        <v>3290</v>
      </c>
      <c r="B3292" t="n">
        <v>2013</v>
      </c>
      <c r="C3292" s="2" t="n">
        <v>41331.82990740741</v>
      </c>
      <c r="D3292" t="inlineStr">
        <is>
          <t>A CRITICA</t>
        </is>
      </c>
      <c r="E3292" t="inlineStr">
        <is>
          <t>VENEZUELANOS</t>
        </is>
      </c>
      <c r="F3292" t="inlineStr"/>
      <c r="G3292" t="inlineStr">
        <is>
          <t>ACRÍTICA.COM</t>
        </is>
      </c>
      <c r="H3292" t="inlineStr">
        <is>
          <t>DEPUTADOS APROVAM FORMAÇÃO DA FRENTE PARLAMENTAR COM RORAIMA PARA AVALIAR TURISMO NA VENEZUELA</t>
        </is>
      </c>
      <c r="I3292" t="inlineStr">
        <is>
          <t>OS DEPUTADOS ESTADUAIS APROVARAM POR UNANIMIDADE, EM SEUS PRONUNCIAMENTOS, A FORMAÇÃO DE UMA FRENTE PARLAMENTAR PARA LUTAR PELOS DIREITOS DOS TURISTAS BRASILEIROS QUE VIAJAM À VENEZUELA</t>
        </is>
      </c>
      <c r="J3292">
        <f>HYPERLINK("https://www.acritica.com/deputados-aprovam-formac-o-da-frente-parlamentar-com-roraima-para-avaliar-turismo-na-venezuela-1.127982", "URL")</f>
        <v/>
      </c>
      <c r="K3292">
        <f>HYPERLINK("https://raw.githubusercontent.com/marcosmapl/dataset_imigrantes/main/noticias_filtered/a_critica/venezuelanos/2013/01_fev/html/1.127982_1206.html", "HTML")</f>
        <v/>
      </c>
      <c r="L3292">
        <f>HYPERLINK("https://raw.githubusercontent.com/marcosmapl/dataset_imigrantes/main/noticias_filtered/a_critica/venezuelanos/2013/01_fev/txt/1.127982_1206.txt", "TXT")</f>
        <v/>
      </c>
    </row>
    <row r="3293">
      <c r="A3293" s="1" t="n">
        <v>3291</v>
      </c>
      <c r="B3293" t="n">
        <v>2013</v>
      </c>
      <c r="C3293" s="2" t="n">
        <v>41330.47081018519</v>
      </c>
      <c r="D3293" t="inlineStr">
        <is>
          <t>A CRITICA</t>
        </is>
      </c>
      <c r="E3293" t="inlineStr">
        <is>
          <t>VENEZUELANOS</t>
        </is>
      </c>
      <c r="F3293" t="inlineStr"/>
      <c r="G3293" t="inlineStr">
        <is>
          <t>CAROLINA SILVA</t>
        </is>
      </c>
      <c r="H3293" t="inlineStr">
        <is>
          <t>TURISTAS BRASILEIROS DENUNCIAM CONSTRANGIMENTOS SOFRIDOS EM FÉRIAS NA VENEZUELA</t>
        </is>
      </c>
      <c r="I3293" t="inlineStr">
        <is>
          <t>O TERRITÓRIO VENEZUELANO TORNOU-SE UM DOS DESTINOS FAVORITOS DE TURISTAS BRASILEIROS, PRINCIPALMENTE OS DA REGIÃO NORTE, QUE NA MAIORIA DAS VEZES, BUSCAM CURTIR AS FÉRIAS NA ILHA DE MARGARITA SEM GASTAR MUITO</t>
        </is>
      </c>
      <c r="J3293">
        <f>HYPERLINK("https://www.acritica.com/turistas-brasileiros-denunciam-constrangimentos-sofridos-em-ferias-na-venezuela-1.119371", "URL")</f>
        <v/>
      </c>
      <c r="K3293">
        <f>HYPERLINK("https://raw.githubusercontent.com/marcosmapl/dataset_imigrantes/main/noticias_filtered/a_critica/venezuelanos/2013/01_fev/html/1.119371_35.html", "HTML")</f>
        <v/>
      </c>
      <c r="L3293">
        <f>HYPERLINK("https://raw.githubusercontent.com/marcosmapl/dataset_imigrantes/main/noticias_filtered/a_critica/venezuelanos/2013/01_fev/txt/1.119371_35.txt", "TXT")</f>
        <v/>
      </c>
    </row>
    <row r="3294">
      <c r="A3294" s="1" t="n">
        <v>3292</v>
      </c>
      <c r="B3294" t="n">
        <v>2013</v>
      </c>
      <c r="C3294" s="2" t="n">
        <v>41328.92291666667</v>
      </c>
      <c r="D3294" t="inlineStr">
        <is>
          <t>G1</t>
        </is>
      </c>
      <c r="E3294" t="inlineStr">
        <is>
          <t>HAITIANOS</t>
        </is>
      </c>
      <c r="F3294" t="inlineStr"/>
      <c r="G3294" t="inlineStr">
        <is>
          <t>GRAZIELA MAIADO G1 AM</t>
        </is>
      </c>
      <c r="H3294" t="inlineStr">
        <is>
          <t>NOVE HAITIANOS SÃO DETIDOS VIVENDO EM SITUAÇÃO IRREGULAR, EM MANAUS</t>
        </is>
      </c>
      <c r="I3294" t="inlineStr"/>
      <c r="J3294">
        <f>HYPERLINK("http://g1.globo.com/am/amazonas/noticia/2013/02/nove-haitianos-sao-detidos-vivendo-em-situacao-irregular-em-manaus.html", "URL")</f>
        <v/>
      </c>
      <c r="K3294">
        <f>HYPERLINK("https://raw.githubusercontent.com/marcosmapl/dataset_imigrantes/main/noticias_filtered/g1/haitianos/2013/01_fev/html/g1_86e648de-22f5-11ed-b24f-6dbe51e79fca_1956.html", "HTML")</f>
        <v/>
      </c>
      <c r="L3294">
        <f>HYPERLINK("https://raw.githubusercontent.com/marcosmapl/dataset_imigrantes/main/noticias_filtered/g1/haitianos/2013/01_fev/txt/g1_86e648de-22f5-11ed-b24f-6dbe51e79fca_1956.txt", "TXT")</f>
        <v/>
      </c>
    </row>
    <row r="3295">
      <c r="A3295" s="1" t="n">
        <v>3293</v>
      </c>
      <c r="B3295" t="n">
        <v>2013</v>
      </c>
      <c r="C3295" s="2" t="n">
        <v>41328.73541666667</v>
      </c>
      <c r="D3295" t="inlineStr">
        <is>
          <t>G1</t>
        </is>
      </c>
      <c r="E3295" t="inlineStr">
        <is>
          <t>VENEZUELANOS</t>
        </is>
      </c>
      <c r="F3295" t="inlineStr"/>
      <c r="G3295" t="inlineStr">
        <is>
          <t>CE PRESSE</t>
        </is>
      </c>
      <c r="H3295" t="inlineStr">
        <is>
          <t>OPOSIÇÃO VENEZUELANA ESCOLHERÁ CANDIDATO PRESIDENCIAL ÚNICO</t>
        </is>
      </c>
      <c r="I3295" t="inlineStr"/>
      <c r="J3295">
        <f>HYPERLINK("http://g1.globo.com/mundo/noticia/2013/02/oposicao-venezuelana-escolhera-candidato-presidencial-unico.html", "URL")</f>
        <v/>
      </c>
      <c r="K3295">
        <f>HYPERLINK("https://raw.githubusercontent.com/marcosmapl/dataset_imigrantes/main/noticias_filtered/g1/venezuelanos/2013/01_fev/html/g1_20d3b28a-2312-11ed-b24f-6dbe51e79fca_2950.html", "HTML")</f>
        <v/>
      </c>
      <c r="L3295">
        <f>HYPERLINK("https://raw.githubusercontent.com/marcosmapl/dataset_imigrantes/main/noticias_filtered/g1/venezuelanos/2013/01_fev/txt/g1_20d3b28a-2312-11ed-b24f-6dbe51e79fca_2950.txt", "TXT")</f>
        <v/>
      </c>
    </row>
    <row r="3296">
      <c r="A3296" s="1" t="n">
        <v>3294</v>
      </c>
      <c r="B3296" t="n">
        <v>2013</v>
      </c>
      <c r="C3296" s="2" t="n">
        <v>41326.77291666667</v>
      </c>
      <c r="D3296" t="inlineStr">
        <is>
          <t>G1</t>
        </is>
      </c>
      <c r="E3296" t="inlineStr">
        <is>
          <t>HAITIANOS</t>
        </is>
      </c>
      <c r="F3296" t="inlineStr"/>
      <c r="G3296" t="inlineStr">
        <is>
          <t>CE PRESSE</t>
        </is>
      </c>
      <c r="H3296" t="inlineStr">
        <is>
          <t>JUIZ ORDENA QUE DITADOR HAITIANO SEJA LEVADO À CORTE, APÓS FALTA</t>
        </is>
      </c>
      <c r="I3296" t="inlineStr"/>
      <c r="J3296">
        <f>HYPERLINK("http://g1.globo.com/mundo/noticia/2013/02/juiz-ordena-que-ditador-haitiano-seja-levado-a-corte-apos-falta.html", "URL")</f>
        <v/>
      </c>
      <c r="K3296">
        <f>HYPERLINK("https://raw.githubusercontent.com/marcosmapl/dataset_imigrantes/main/noticias_filtered/g1/haitianos/2013/01_fev/html/g1_1328c0b8-2311-11ed-b24f-6dbe51e79fca_2896.html", "HTML")</f>
        <v/>
      </c>
      <c r="L3296">
        <f>HYPERLINK("https://raw.githubusercontent.com/marcosmapl/dataset_imigrantes/main/noticias_filtered/g1/haitianos/2013/01_fev/txt/g1_1328c0b8-2311-11ed-b24f-6dbe51e79fca_2896.txt", "TXT")</f>
        <v/>
      </c>
    </row>
    <row r="3297">
      <c r="A3297" s="1" t="n">
        <v>3295</v>
      </c>
      <c r="B3297" t="n">
        <v>2013</v>
      </c>
      <c r="C3297" s="2" t="n">
        <v>41324.77708333333</v>
      </c>
      <c r="D3297" t="inlineStr">
        <is>
          <t>G1</t>
        </is>
      </c>
      <c r="E3297" t="inlineStr">
        <is>
          <t>VENEZUELANOS</t>
        </is>
      </c>
      <c r="F3297" t="inlineStr"/>
      <c r="G3297" t="inlineStr">
        <is>
          <t>CE PRESSE</t>
        </is>
      </c>
      <c r="H3297" t="inlineStr">
        <is>
          <t>EUA INSISTEM EM RESPEITO À CONSTITUIÇÃO VENEZUELANA APÓS RETORNO DE CHÁVEZ</t>
        </is>
      </c>
      <c r="I3297" t="inlineStr"/>
      <c r="J3297">
        <f>HYPERLINK("http://g1.globo.com/mundo/noticia/2013/02/eua-insistem-em-respeito-a-constituicao-venezuelana-apos-retorno-de-chavez.html", "URL")</f>
        <v/>
      </c>
      <c r="K3297">
        <f>HYPERLINK("https://raw.githubusercontent.com/marcosmapl/dataset_imigrantes/main/noticias_filtered/g1/venezuelanos/2013/01_fev/html/g1_2dd6b5e4-2313-11ed-b24f-6dbe51e79fca_2998.html", "HTML")</f>
        <v/>
      </c>
      <c r="L3297">
        <f>HYPERLINK("https://raw.githubusercontent.com/marcosmapl/dataset_imigrantes/main/noticias_filtered/g1/venezuelanos/2013/01_fev/txt/g1_2dd6b5e4-2313-11ed-b24f-6dbe51e79fca_2998.txt", "TXT")</f>
        <v/>
      </c>
    </row>
    <row r="3298">
      <c r="A3298" s="1" t="n">
        <v>3296</v>
      </c>
      <c r="B3298" t="n">
        <v>2013</v>
      </c>
      <c r="C3298" s="2" t="n">
        <v>41324.425</v>
      </c>
      <c r="D3298" t="inlineStr">
        <is>
          <t>G1</t>
        </is>
      </c>
      <c r="E3298" t="inlineStr">
        <is>
          <t>VENEZUELANOS</t>
        </is>
      </c>
      <c r="F3298" t="inlineStr"/>
      <c r="G3298" t="inlineStr"/>
      <c r="H3298" t="inlineStr">
        <is>
          <t>JUSTIÇA VENEZUELANA QUER EMPOSSAR HUGO CHÁVEZ ASSIM QUE POSSÍVEL</t>
        </is>
      </c>
      <c r="I3298" t="inlineStr"/>
      <c r="J3298">
        <f>HYPERLINK("http://g1.globo.com/bom-dia-brasil/noticia/2013/02/justica-venezuelana-quer-empossar-hugo-chavez-assim-que-possivel.html", "URL")</f>
        <v/>
      </c>
      <c r="K3298">
        <f>HYPERLINK("https://raw.githubusercontent.com/marcosmapl/dataset_imigrantes/main/noticias_filtered/g1/venezuelanos/2013/01_fev/html/g1_c8922474-2313-11ed-b24f-6dbe51e79fca_3026.html", "HTML")</f>
        <v/>
      </c>
      <c r="L3298">
        <f>HYPERLINK("https://raw.githubusercontent.com/marcosmapl/dataset_imigrantes/main/noticias_filtered/g1/venezuelanos/2013/01_fev/txt/g1_c8922474-2313-11ed-b24f-6dbe51e79fca_3026.txt", "TXT")</f>
        <v/>
      </c>
    </row>
    <row r="3299">
      <c r="A3299" s="1" t="n">
        <v>3297</v>
      </c>
      <c r="B3299" t="n">
        <v>2013</v>
      </c>
      <c r="C3299" s="2" t="n">
        <v>41324.04583333333</v>
      </c>
      <c r="D3299" t="inlineStr">
        <is>
          <t>G1</t>
        </is>
      </c>
      <c r="E3299" t="inlineStr">
        <is>
          <t>VENEZUELANOS</t>
        </is>
      </c>
      <c r="F3299" t="inlineStr"/>
      <c r="G3299" t="inlineStr">
        <is>
          <t>S ORTIZQUITO, EQUADOR</t>
        </is>
      </c>
      <c r="H3299" t="inlineStr">
        <is>
          <t>JUSTIÇA VENEZUELANA DEVE EMPOSSAR CHÁVEZ COM RETORNO AO PAÍS</t>
        </is>
      </c>
      <c r="I3299" t="inlineStr"/>
      <c r="J3299">
        <f>HYPERLINK("http://g1.globo.com/jornal-da-globo/noticia/2013/02/justica-venezuelana-deve-empossar-chavez-com-retorno-ao-pais.html", "URL")</f>
        <v/>
      </c>
      <c r="K3299">
        <f>HYPERLINK("https://raw.githubusercontent.com/marcosmapl/dataset_imigrantes/main/noticias_filtered/g1/venezuelanos/2013/01_fev/html/g1_1de11cb2-2311-11ed-b24f-6dbe51e79fca_2899.html", "HTML")</f>
        <v/>
      </c>
      <c r="L3299">
        <f>HYPERLINK("https://raw.githubusercontent.com/marcosmapl/dataset_imigrantes/main/noticias_filtered/g1/venezuelanos/2013/01_fev/txt/g1_1de11cb2-2311-11ed-b24f-6dbe51e79fca_2899.txt", "TXT")</f>
        <v/>
      </c>
    </row>
    <row r="3300">
      <c r="A3300" s="1" t="n">
        <v>3298</v>
      </c>
      <c r="B3300" t="n">
        <v>2013</v>
      </c>
      <c r="C3300" s="2" t="n">
        <v>41323.53605324074</v>
      </c>
      <c r="D3300" t="inlineStr">
        <is>
          <t>A CRITICA</t>
        </is>
      </c>
      <c r="E3300" t="inlineStr">
        <is>
          <t>VENEZUELANOS</t>
        </is>
      </c>
      <c r="F3300" t="inlineStr"/>
      <c r="G3300" t="inlineStr">
        <is>
          <t>PAULA LABOISSIÈRE/ AGÊNCIA BRASIL</t>
        </is>
      </c>
      <c r="H3300" t="inlineStr">
        <is>
          <t>PELO TWITTER, CHÁVEZ ANUNCIA QUE ESTÁ DE VOLTA À VENEZUELA</t>
        </is>
      </c>
      <c r="I3300" t="inlineStr">
        <is>
          <t>---</t>
        </is>
      </c>
      <c r="J3300">
        <f>HYPERLINK("https://www.acritica.com/pelo-twitter-chavez-anuncia-que-esta-de-volta-a-venezuela-1.127355", "URL")</f>
        <v/>
      </c>
      <c r="K3300">
        <f>HYPERLINK("https://raw.githubusercontent.com/marcosmapl/dataset_imigrantes/main/noticias_filtered/a_critica/venezuelanos/2013/01_fev/html/1.127355_594.html", "HTML")</f>
        <v/>
      </c>
      <c r="L3300">
        <f>HYPERLINK("https://raw.githubusercontent.com/marcosmapl/dataset_imigrantes/main/noticias_filtered/a_critica/venezuelanos/2013/01_fev/txt/1.127355_594.txt", "TXT")</f>
        <v/>
      </c>
    </row>
    <row r="3301">
      <c r="A3301" s="1" t="n">
        <v>3299</v>
      </c>
      <c r="B3301" t="n">
        <v>2013</v>
      </c>
      <c r="C3301" s="2" t="n">
        <v>41322.7794212963</v>
      </c>
      <c r="D3301" t="inlineStr">
        <is>
          <t>A CRITICA</t>
        </is>
      </c>
      <c r="E3301" t="inlineStr">
        <is>
          <t>VENEZUELANOS</t>
        </is>
      </c>
      <c r="F3301" t="inlineStr">
        <is>
          <t>ESPORTES</t>
        </is>
      </c>
      <c r="G3301" t="inlineStr">
        <is>
          <t>BRUNO TADEU</t>
        </is>
      </c>
      <c r="H3301" t="inlineStr">
        <is>
          <t>EMPRESÁRIOS DA BOLA LUCRAM COM O FUTEBOL AMAZONENSE</t>
        </is>
      </c>
      <c r="I3301" t="inlineStr">
        <is>
          <t>AGENTES APROVEITAM A DESVALORIZAÇÃO DAS CETEGORIAS DE BASE, PELOS CLUBES, PARA LUCRAR COM JOGADORES AMAZONENSES</t>
        </is>
      </c>
      <c r="J3301">
        <f>HYPERLINK("https://www.acritica.com/esportes/empresarios-da-bola-lucram-com-o-futebol-amazonense-1.127132", "URL")</f>
        <v/>
      </c>
      <c r="K3301">
        <f>HYPERLINK("https://raw.githubusercontent.com/marcosmapl/dataset_imigrantes/main/noticias_filtered/a_critica/venezuelanos/2013/01_fev/html/1.127132_1232.html", "HTML")</f>
        <v/>
      </c>
      <c r="L3301">
        <f>HYPERLINK("https://raw.githubusercontent.com/marcosmapl/dataset_imigrantes/main/noticias_filtered/a_critica/venezuelanos/2013/01_fev/txt/1.127132_1232.txt", "TXT")</f>
        <v/>
      </c>
    </row>
    <row r="3302">
      <c r="A3302" s="1" t="n">
        <v>3300</v>
      </c>
      <c r="B3302" t="n">
        <v>2013</v>
      </c>
      <c r="C3302" s="2" t="n">
        <v>41320.76810185185</v>
      </c>
      <c r="D3302" t="inlineStr">
        <is>
          <t>A CRITICA</t>
        </is>
      </c>
      <c r="E3302" t="inlineStr">
        <is>
          <t>VENEZUELANOS</t>
        </is>
      </c>
      <c r="F3302" t="inlineStr"/>
      <c r="G3302" t="inlineStr">
        <is>
          <t>DA BBC BRASIL</t>
        </is>
      </c>
      <c r="H3302" t="inlineStr">
        <is>
          <t>CHÁVEZ APARECE EM FOTOS, MAS TEM DIFICULDADES PARA FALAR</t>
        </is>
      </c>
      <c r="I3302" t="inlineStr">
        <is>
          <t>NAS FOTOS DIVULGADAS NESTA SEXTA-FEIRA, CHÁVEZ APARECE DEITADO EM UMA CAMA AO LADO DAS DUAS FILHAS, MARIA GABRIELA E ROSA VIRGINIA, QUE O ACOMPANHAM DESDE QUE VIAJOU A CUBA, NO INÍCIO DE DEZEMBRO.</t>
        </is>
      </c>
      <c r="J3302">
        <f>HYPERLINK("https://www.acritica.com/chavez-aparece-em-fotos-mas-tem-dificuldades-para-falar-1.127005", "URL")</f>
        <v/>
      </c>
      <c r="K3302">
        <f>HYPERLINK("https://raw.githubusercontent.com/marcosmapl/dataset_imigrantes/main/noticias_filtered/a_critica/venezuelanos/2013/01_fev/html/1.127005_471.html", "HTML")</f>
        <v/>
      </c>
      <c r="L3302">
        <f>HYPERLINK("https://raw.githubusercontent.com/marcosmapl/dataset_imigrantes/main/noticias_filtered/a_critica/venezuelanos/2013/01_fev/txt/1.127005_471.txt", "TXT")</f>
        <v/>
      </c>
    </row>
    <row r="3303">
      <c r="A3303" s="1" t="n">
        <v>3301</v>
      </c>
      <c r="B3303" t="n">
        <v>2013</v>
      </c>
      <c r="C3303" s="2" t="n">
        <v>41318.64795138889</v>
      </c>
      <c r="D3303" t="inlineStr">
        <is>
          <t>A CRITICA</t>
        </is>
      </c>
      <c r="E3303" t="inlineStr">
        <is>
          <t>VENEZUELANOS</t>
        </is>
      </c>
      <c r="F3303" t="inlineStr">
        <is>
          <t>ESPORTES</t>
        </is>
      </c>
      <c r="G3303" t="inlineStr">
        <is>
          <t>ACRÍTICA.COM</t>
        </is>
      </c>
      <c r="H3303" t="inlineStr">
        <is>
          <t>FLUMINENSE TERÁ PRESSÃO DA TORCIDA DO CARACAS NA ESTREIA DA LIBERTADORES</t>
        </is>
      </c>
      <c r="I3303" t="inlineStr">
        <is>
          <t>O CLUBE VENEZUELANO POSSUI UMA VIBRANTE TORCIDA, CONHECIDA COMO “LOS DEMONIOS ROJOS”, E CONSIDERADA UMA DAS PIORES ORGANIZADAS DA AMÉRICA DO SUL</t>
        </is>
      </c>
      <c r="J3303">
        <f>HYPERLINK("https://www.acritica.com/esportes/fluminense-tera-press-o-da-torcida-do-caracas-na-estreia-da-libertadores-1.126870", "URL")</f>
        <v/>
      </c>
      <c r="K3303">
        <f>HYPERLINK("https://raw.githubusercontent.com/marcosmapl/dataset_imigrantes/main/noticias_filtered/a_critica/venezuelanos/2013/01_fev/html/1.126870_1073.html", "HTML")</f>
        <v/>
      </c>
      <c r="L3303">
        <f>HYPERLINK("https://raw.githubusercontent.com/marcosmapl/dataset_imigrantes/main/noticias_filtered/a_critica/venezuelanos/2013/01_fev/txt/1.126870_1073.txt", "TXT")</f>
        <v/>
      </c>
    </row>
    <row r="3304">
      <c r="A3304" s="1" t="n">
        <v>3302</v>
      </c>
      <c r="B3304" t="n">
        <v>2013</v>
      </c>
      <c r="C3304" s="2" t="n">
        <v>41317.82701388889</v>
      </c>
      <c r="D3304" t="inlineStr">
        <is>
          <t>A CRITICA</t>
        </is>
      </c>
      <c r="E3304" t="inlineStr">
        <is>
          <t>HAITIANOS</t>
        </is>
      </c>
      <c r="F3304" t="inlineStr"/>
      <c r="G3304" t="inlineStr">
        <is>
          <t>ACRÍTICA.COM</t>
        </is>
      </c>
      <c r="H3304" t="inlineStr">
        <is>
          <t>ORIGINALIDADE E DIVERSÃO MARCAM O MANAUS FANTASY DE 2013</t>
        </is>
      </c>
      <c r="I3304" t="inlineStr">
        <is>
          <t>OS GRUPOS “CUKA FRESCA” E “TÔ A TOA” COMANDARAM A MÚSICA AO LADO DO CANTOR EDUARDO DORNELLAS E DO MC SAPÃO, ATRAÇÃO NACIONAL VINDA DO RIO DE JANEIRO</t>
        </is>
      </c>
      <c r="J3304">
        <f>HYPERLINK("https://www.acritica.com/originalidade-e-divers-o-marcam-o-manaus-fantasy-de-2013-1.126755", "URL")</f>
        <v/>
      </c>
      <c r="K3304">
        <f>HYPERLINK("https://raw.githubusercontent.com/marcosmapl/dataset_imigrantes/main/noticias_filtered/a_critica/haitianos/2013/01_fev/html/1.126755_870.html", "HTML")</f>
        <v/>
      </c>
      <c r="L3304">
        <f>HYPERLINK("https://raw.githubusercontent.com/marcosmapl/dataset_imigrantes/main/noticias_filtered/a_critica/haitianos/2013/01_fev/txt/1.126755_870.txt", "TXT")</f>
        <v/>
      </c>
    </row>
    <row r="3305">
      <c r="A3305" s="1" t="n">
        <v>3303</v>
      </c>
      <c r="B3305" t="n">
        <v>2013</v>
      </c>
      <c r="C3305" s="2" t="n">
        <v>41313.70277777778</v>
      </c>
      <c r="D3305" t="inlineStr">
        <is>
          <t>G1</t>
        </is>
      </c>
      <c r="E3305" t="inlineStr">
        <is>
          <t>HAITIANOS</t>
        </is>
      </c>
      <c r="F3305" t="inlineStr"/>
      <c r="G3305" t="inlineStr">
        <is>
          <t xml:space="preserve"> MARCELDO G1 AC</t>
        </is>
      </c>
      <c r="H3305" t="inlineStr">
        <is>
          <t>BLOCO NÓ NA MADEIRA ARRECADA ALIMENTOS PARA HAITIANOS NO ACRE</t>
        </is>
      </c>
      <c r="I3305" t="inlineStr"/>
      <c r="J3305">
        <f>HYPERLINK("http://g1.globo.com/ac/acre/noticia/2013/02/bloco-no-na-madeira-arrecada-alimentos-para-haitianos-no-acre.html", "URL")</f>
        <v/>
      </c>
      <c r="K3305">
        <f>HYPERLINK("https://raw.githubusercontent.com/marcosmapl/dataset_imigrantes/main/noticias_filtered/g1/haitianos/2013/01_fev/html/g1_75bd9aa0-22f8-11ed-b24f-6dbe51e79fca_2136.html", "HTML")</f>
        <v/>
      </c>
      <c r="L3305">
        <f>HYPERLINK("https://raw.githubusercontent.com/marcosmapl/dataset_imigrantes/main/noticias_filtered/g1/haitianos/2013/01_fev/txt/g1_75bd9aa0-22f8-11ed-b24f-6dbe51e79fca_2136.txt", "TXT")</f>
        <v/>
      </c>
    </row>
    <row r="3306">
      <c r="A3306" s="1" t="n">
        <v>3304</v>
      </c>
      <c r="B3306" t="n">
        <v>2013</v>
      </c>
      <c r="C3306" s="2" t="n">
        <v>41313.47708333333</v>
      </c>
      <c r="D3306" t="inlineStr">
        <is>
          <t>G1</t>
        </is>
      </c>
      <c r="E3306" t="inlineStr">
        <is>
          <t>HAITIANOS</t>
        </is>
      </c>
      <c r="F3306" t="inlineStr"/>
      <c r="G3306" t="inlineStr">
        <is>
          <t>CIA EFE</t>
        </is>
      </c>
      <c r="H3306" t="inlineStr">
        <is>
          <t>OIM PROPÕE REALOCAR 200 MIL HAITIANOS SEM LAR TRÊS ANOS APÓS TERREMOTO</t>
        </is>
      </c>
      <c r="I3306" t="inlineStr"/>
      <c r="J3306">
        <f>HYPERLINK("http://g1.globo.com/mundo/noticia/2013/02/oim-propoe-realocar-200-mil-haitianos-sem-lar-tres-anos-apos-terremoto.html", "URL")</f>
        <v/>
      </c>
      <c r="K3306">
        <f>HYPERLINK("https://raw.githubusercontent.com/marcosmapl/dataset_imigrantes/main/noticias_filtered/g1/haitianos/2013/01_fev/html/g1_cb804a36-22f4-11ed-b24f-6dbe51e79fca_1910.html", "HTML")</f>
        <v/>
      </c>
      <c r="L3306">
        <f>HYPERLINK("https://raw.githubusercontent.com/marcosmapl/dataset_imigrantes/main/noticias_filtered/g1/haitianos/2013/01_fev/txt/g1_cb804a36-22f4-11ed-b24f-6dbe51e79fca_1910.txt", "TXT")</f>
        <v/>
      </c>
    </row>
    <row r="3307">
      <c r="A3307" s="1" t="n">
        <v>3305</v>
      </c>
      <c r="B3307" t="n">
        <v>2013</v>
      </c>
      <c r="C3307" s="2" t="n">
        <v>41312.34375</v>
      </c>
      <c r="D3307" t="inlineStr">
        <is>
          <t>G1</t>
        </is>
      </c>
      <c r="E3307" t="inlineStr">
        <is>
          <t>HAITIANOS</t>
        </is>
      </c>
      <c r="F3307" t="inlineStr"/>
      <c r="G3307" t="inlineStr">
        <is>
          <t>SSA VASCONCELOSDO G1 RO</t>
        </is>
      </c>
      <c r="H3307" t="inlineStr">
        <is>
          <t>HAITIANOS SÃO MAIORIA ENTRE IMIGRANTES RESIDENTES EM RONDÔNIA</t>
        </is>
      </c>
      <c r="I3307" t="inlineStr"/>
      <c r="J3307">
        <f>HYPERLINK("http://g1.globo.com/ro/rondonia/noticia/2013/02/haitianos-sao-maioria-entre-imigrantes-residentes-em-rondonia.html", "URL")</f>
        <v/>
      </c>
      <c r="K3307">
        <f>HYPERLINK("https://raw.githubusercontent.com/marcosmapl/dataset_imigrantes/main/noticias_filtered/g1/haitianos/2013/01_fev/html/g1_4e8d8014-22ec-11ed-b24f-6dbe51e79fca_1653.html", "HTML")</f>
        <v/>
      </c>
      <c r="L3307">
        <f>HYPERLINK("https://raw.githubusercontent.com/marcosmapl/dataset_imigrantes/main/noticias_filtered/g1/haitianos/2013/01_fev/txt/g1_4e8d8014-22ec-11ed-b24f-6dbe51e79fca_1653.txt", "TXT")</f>
        <v/>
      </c>
    </row>
    <row r="3308">
      <c r="A3308" s="1" t="n">
        <v>3306</v>
      </c>
      <c r="B3308" t="n">
        <v>2013</v>
      </c>
      <c r="C3308" s="2" t="n">
        <v>41310.20065972222</v>
      </c>
      <c r="D3308" t="inlineStr">
        <is>
          <t>A CRITICA</t>
        </is>
      </c>
      <c r="E3308" t="inlineStr">
        <is>
          <t>HAITIANOS</t>
        </is>
      </c>
      <c r="F3308" t="inlineStr">
        <is>
          <t>MANAUS</t>
        </is>
      </c>
      <c r="G3308" t="inlineStr">
        <is>
          <t>CAMILA PEREIRA</t>
        </is>
      </c>
      <c r="H3308" t="inlineStr">
        <is>
          <t>HAITIANO MORRE EM UNIDADE BÁSICA DE SAÚDE</t>
        </is>
      </c>
      <c r="I3308" t="inlineStr">
        <is>
          <t>UMA DAS DIFICULDADES ENCONTRADAS PELOS FAMILIARES É QUE O INSTITUTO MÉDICO LEGAL NÃO FAZ A REMOÇÃO DO CORPO, POR CONTA DO CASO E HORÁRIO.</t>
        </is>
      </c>
      <c r="J3308">
        <f>HYPERLINK("https://www.acritica.com/manaus/haitiano-morre-em-unidade-basica-de-saude-1.126323", "URL")</f>
        <v/>
      </c>
      <c r="K3308">
        <f>HYPERLINK("https://raw.githubusercontent.com/marcosmapl/dataset_imigrantes/main/noticias_filtered/a_critica/haitianos/2013/01_fev/html/1.126323_195.html", "HTML")</f>
        <v/>
      </c>
      <c r="L3308">
        <f>HYPERLINK("https://raw.githubusercontent.com/marcosmapl/dataset_imigrantes/main/noticias_filtered/a_critica/haitianos/2013/01_fev/txt/1.126323_195.txt", "TXT")</f>
        <v/>
      </c>
    </row>
    <row r="3309">
      <c r="A3309" s="1" t="n">
        <v>3307</v>
      </c>
      <c r="B3309" t="n">
        <v>2013</v>
      </c>
      <c r="C3309" s="2" t="n">
        <v>41307.72074074074</v>
      </c>
      <c r="D3309" t="inlineStr">
        <is>
          <t>A CRITICA</t>
        </is>
      </c>
      <c r="E3309" t="inlineStr">
        <is>
          <t>HAITIANOS</t>
        </is>
      </c>
      <c r="F3309" t="inlineStr">
        <is>
          <t>MANAUS</t>
        </is>
      </c>
      <c r="G3309" t="inlineStr">
        <is>
          <t>ACRÍTICA.COM</t>
        </is>
      </c>
      <c r="H3309" t="inlineStr">
        <is>
          <t>BATALHÃO APREENDE 830 QUILOS DE PESCADO ILEGAL EM FEIRA DE MANAUS</t>
        </is>
      </c>
      <c r="I3309" t="inlineStr">
        <is>
          <t>A MERCADORIA FOI DOADA A UMA CASA DE APOIO A IMIGRANTES HAITIANOS, SEGUNDO O BATALHÃO AMBIENTAL</t>
        </is>
      </c>
      <c r="J3309">
        <f>HYPERLINK("https://www.acritica.com/manaus/batalh-o-apreende-830-quilos-de-pescado-ilegal-em-feira-de-manaus-1.121499", "URL")</f>
        <v/>
      </c>
      <c r="K3309">
        <f>HYPERLINK("https://raw.githubusercontent.com/marcosmapl/dataset_imigrantes/main/noticias_filtered/a_critica/haitianos/2013/01_fev/html/1.121499_146.html", "HTML")</f>
        <v/>
      </c>
      <c r="L3309">
        <f>HYPERLINK("https://raw.githubusercontent.com/marcosmapl/dataset_imigrantes/main/noticias_filtered/a_critica/haitianos/2013/01_fev/txt/1.121499_146.txt", "TXT")</f>
        <v/>
      </c>
    </row>
    <row r="3310">
      <c r="A3310" s="1" t="n">
        <v>3308</v>
      </c>
      <c r="B3310" t="n">
        <v>2013</v>
      </c>
      <c r="C3310" s="2" t="n">
        <v>41306.55555555555</v>
      </c>
      <c r="D3310" t="inlineStr">
        <is>
          <t>G1</t>
        </is>
      </c>
      <c r="E3310" t="inlineStr">
        <is>
          <t>HAITIANOS</t>
        </is>
      </c>
      <c r="F3310" t="inlineStr"/>
      <c r="G3310" t="inlineStr">
        <is>
          <t xml:space="preserve"> MARCEL
DO G1 AC</t>
        </is>
      </c>
      <c r="H3310" t="inlineStr">
        <is>
          <t>ACRE RECEBE ATÉ 30 HAITIANOS POR DIA TRÊS ANOS APÓS TERREMOTO NO PAÍS</t>
        </is>
      </c>
      <c r="I3310" t="inlineStr"/>
      <c r="J3310">
        <f>HYPERLINK("http://g1.globo.com/ac/acre/noticia/2013/02/acre-recebe-ate-30-haitianos-por-dia-tres-anos-apos-terremoto-no-pais.html", "URL")</f>
        <v/>
      </c>
      <c r="K3310">
        <f>HYPERLINK("https://raw.githubusercontent.com/marcosmapl/dataset_imigrantes/main/noticias_filtered/g1/haitianos/2013/01_fev/html/g1_9db54014-231e-11ed-b24f-6dbe51e79fca_3573.html", "HTML")</f>
        <v/>
      </c>
      <c r="L3310">
        <f>HYPERLINK("https://raw.githubusercontent.com/marcosmapl/dataset_imigrantes/main/noticias_filtered/g1/haitianos/2013/01_fev/txt/g1_9db54014-231e-11ed-b24f-6dbe51e79fca_3573.txt", "TXT")</f>
        <v/>
      </c>
    </row>
    <row r="3311">
      <c r="A3311" s="1" t="n">
        <v>3309</v>
      </c>
      <c r="B3311" t="n">
        <v>2013</v>
      </c>
      <c r="C3311" s="2" t="n">
        <v>41305.7850925926</v>
      </c>
      <c r="D3311" t="inlineStr">
        <is>
          <t>A CRITICA</t>
        </is>
      </c>
      <c r="E3311" t="inlineStr">
        <is>
          <t>HAITIANOS</t>
        </is>
      </c>
      <c r="F3311" t="inlineStr"/>
      <c r="G3311" t="inlineStr">
        <is>
          <t>FLÁVIA ALBUQUERQUE/ AGÊNCIA BRASIL</t>
        </is>
      </c>
      <c r="H3311" t="inlineStr">
        <is>
          <t>AUMENTO DO TRABALHO ESCRAVO EM ÁREAS URBANAS PREOCUPA, DIZ SECRETÁRIO</t>
        </is>
      </c>
      <c r="I3311" t="inlineStr">
        <is>
          <t>O SECRETÁRIO NACIONAL DE PROMOÇÃO E DEFESA DOS DIREITOS HUMANOS DA SECRETARIA DE DIREITOS HUMANOS DA PRESIDÊNCIA DA REPÚBLICA, GABRIEL DOS SANTOS ROCHA, DIZ QUE  A MAIOR INCIDÊNCIA DA PRÁTICA É EM ÁREA URBANA E ENTRE IMIGRANTES</t>
        </is>
      </c>
      <c r="J3311">
        <f>HYPERLINK("https://www.acritica.com/aumento-do-trabalho-escravo-em-areas-urbanas-preocupa-diz-secretario-1.125979", "URL")</f>
        <v/>
      </c>
      <c r="K3311">
        <f>HYPERLINK("https://raw.githubusercontent.com/marcosmapl/dataset_imigrantes/main/noticias_filtered/a_critica/haitianos/2013/00_jan/html/1.125979_1022.html", "HTML")</f>
        <v/>
      </c>
      <c r="L3311">
        <f>HYPERLINK("https://raw.githubusercontent.com/marcosmapl/dataset_imigrantes/main/noticias_filtered/a_critica/haitianos/2013/00_jan/txt/1.125979_1022.txt", "TXT")</f>
        <v/>
      </c>
    </row>
    <row r="3312">
      <c r="A3312" s="1" t="n">
        <v>3310</v>
      </c>
      <c r="B3312" t="n">
        <v>2013</v>
      </c>
      <c r="C3312" s="2" t="n">
        <v>41300.09444444445</v>
      </c>
      <c r="D3312" t="inlineStr">
        <is>
          <t>G1</t>
        </is>
      </c>
      <c r="E3312" t="inlineStr">
        <is>
          <t>VENEZUELANOS</t>
        </is>
      </c>
      <c r="F3312" t="inlineStr"/>
      <c r="G3312" t="inlineStr">
        <is>
          <t>1, COM AGÊNCIAS INTERNACIONAIS*</t>
        </is>
      </c>
      <c r="H3312" t="inlineStr">
        <is>
          <t>MOTIM EM PRISÃO VENEZUELANA DEIXA MAIS DE 50 MORTOS</t>
        </is>
      </c>
      <c r="I3312" t="inlineStr"/>
      <c r="J3312">
        <f>HYPERLINK("http://g1.globo.com/mundo/noticia/2013/01/motim-em-prisao-venezuelana-deixa-mais-de-50-mortos.html", "URL")</f>
        <v/>
      </c>
      <c r="K3312">
        <f>HYPERLINK("https://raw.githubusercontent.com/marcosmapl/dataset_imigrantes/main/noticias_filtered/g1/venezuelanos/2013/00_jan/html/g1_018f78e0-2322-11ed-b24f-6dbe51e79fca_3729.html", "HTML")</f>
        <v/>
      </c>
      <c r="L3312">
        <f>HYPERLINK("https://raw.githubusercontent.com/marcosmapl/dataset_imigrantes/main/noticias_filtered/g1/venezuelanos/2013/00_jan/txt/g1_018f78e0-2322-11ed-b24f-6dbe51e79fca_3729.txt", "TXT")</f>
        <v/>
      </c>
    </row>
    <row r="3313">
      <c r="A3313" s="1" t="n">
        <v>3311</v>
      </c>
      <c r="B3313" t="n">
        <v>2013</v>
      </c>
      <c r="C3313" s="2" t="n">
        <v>41300.0125</v>
      </c>
      <c r="D3313" t="inlineStr">
        <is>
          <t>G1</t>
        </is>
      </c>
      <c r="E3313" t="inlineStr">
        <is>
          <t>VENEZUELANOS</t>
        </is>
      </c>
      <c r="F3313" t="inlineStr"/>
      <c r="G3313" t="inlineStr">
        <is>
          <t>CE PRESSE</t>
        </is>
      </c>
      <c r="H3313" t="inlineStr">
        <is>
          <t>PELO MENOS 50 MORTOS EM CONFRONTO EM PRISÃO VENEZUELANA (HOSPITAL)</t>
        </is>
      </c>
      <c r="I3313" t="inlineStr"/>
      <c r="J3313">
        <f>HYPERLINK("http://g1.globo.com/mundo/noticia/2013/01/pelo-menos-50-mortos-em-confronto-em-prisao-venezuelana-hospital.html", "URL")</f>
        <v/>
      </c>
      <c r="K3313">
        <f>HYPERLINK("https://raw.githubusercontent.com/marcosmapl/dataset_imigrantes/main/noticias_filtered/g1/venezuelanos/2013/00_jan/html/g1_a4dd5416-2329-11ed-b24f-6dbe51e79fca_4129.html", "HTML")</f>
        <v/>
      </c>
      <c r="L3313">
        <f>HYPERLINK("https://raw.githubusercontent.com/marcosmapl/dataset_imigrantes/main/noticias_filtered/g1/venezuelanos/2013/00_jan/txt/g1_a4dd5416-2329-11ed-b24f-6dbe51e79fca_4129.txt", "TXT")</f>
        <v/>
      </c>
    </row>
    <row r="3314">
      <c r="A3314" s="1" t="n">
        <v>3312</v>
      </c>
      <c r="B3314" t="n">
        <v>2013</v>
      </c>
      <c r="C3314" s="2" t="n">
        <v>41295.5237037037</v>
      </c>
      <c r="D3314" t="inlineStr">
        <is>
          <t>A CRITICA</t>
        </is>
      </c>
      <c r="E3314" t="inlineStr">
        <is>
          <t>VENEZUELANOS</t>
        </is>
      </c>
      <c r="F3314" t="inlineStr">
        <is>
          <t>MANAUS</t>
        </is>
      </c>
      <c r="G3314" t="inlineStr">
        <is>
          <t>ACRÍTICA.COM</t>
        </is>
      </c>
      <c r="H3314" t="inlineStr">
        <is>
          <t>VENEZUELANO DEGOLA COMPANHEIRA E É MORTO POR PM NO AMAZONAS</t>
        </is>
      </c>
      <c r="I3314" t="inlineStr">
        <is>
          <t>AS TESTEMUNHAS E O POLICIAL ENVOLVIDO NO CRIME SERÃO OUVIDOS NA DELEGACIA INTERATIVA DO MUNICÍPIO DE MANACAPURU</t>
        </is>
      </c>
      <c r="J3314">
        <f>HYPERLINK("https://www.acritica.com/manaus/venezuelano-degola-companheira-e-e-morto-por-pm-no-amazonas-1.123769", "URL")</f>
        <v/>
      </c>
      <c r="K3314">
        <f>HYPERLINK("https://raw.githubusercontent.com/marcosmapl/dataset_imigrantes/main/noticias_filtered/a_critica/venezuelanos/2013/00_jan/html/1.123769_178.html", "HTML")</f>
        <v/>
      </c>
      <c r="L3314">
        <f>HYPERLINK("https://raw.githubusercontent.com/marcosmapl/dataset_imigrantes/main/noticias_filtered/a_critica/venezuelanos/2013/00_jan/txt/1.123769_178.txt", "TXT")</f>
        <v/>
      </c>
    </row>
    <row r="3315">
      <c r="A3315" s="1" t="n">
        <v>3313</v>
      </c>
      <c r="B3315" t="n">
        <v>2013</v>
      </c>
      <c r="C3315" s="2" t="n">
        <v>41293.59434027778</v>
      </c>
      <c r="D3315" t="inlineStr">
        <is>
          <t>A CRITICA</t>
        </is>
      </c>
      <c r="E3315" t="inlineStr">
        <is>
          <t>HAITIANOS</t>
        </is>
      </c>
      <c r="F3315" t="inlineStr"/>
      <c r="G3315" t="inlineStr">
        <is>
          <t>ACRITICA.COM*</t>
        </is>
      </c>
      <c r="H3315" t="inlineStr">
        <is>
          <t>AMAZONAS PROMOVE MUTIRÃO PARA EMISSÃO DE CARTEIRA DE TRABALHO AOS IMIGRANTES HAITIANOS</t>
        </is>
      </c>
      <c r="I3315" t="inlineStr">
        <is>
          <t>O  ATENDIMENTO SERÁ FEITO NA MANHÃ DESTE SÁBADO (19) NA SEDE DA SUPERINTENDÊNCIA DO TRABALHO, NA AVENIDA ANDRÉ ARAÚJO, 140,  BAIRRO ALEIXO, ZONA CENTRO-SUL DE MANAUS, DAS 8H ÀS 12H. O ATENDIMENTO CONTARÁ COM O APOIO DA SECRETARIA DE ESTADO E ASSISTÊNCIA SOCIAL (SEAS).</t>
        </is>
      </c>
      <c r="J3315">
        <f>HYPERLINK("https://www.acritica.com/amazonas-promove-mutir-o-para-emiss-o-de-carteira-de-trabalho-aos-imigrantes-haitianos-1.123973", "URL")</f>
        <v/>
      </c>
      <c r="K3315">
        <f>HYPERLINK("https://raw.githubusercontent.com/marcosmapl/dataset_imigrantes/main/noticias_filtered/a_critica/haitianos/2013/00_jan/html/1.123973_1298.html", "HTML")</f>
        <v/>
      </c>
      <c r="L3315">
        <f>HYPERLINK("https://raw.githubusercontent.com/marcosmapl/dataset_imigrantes/main/noticias_filtered/a_critica/haitianos/2013/00_jan/txt/1.123973_1298.txt", "TXT")</f>
        <v/>
      </c>
    </row>
    <row r="3316">
      <c r="A3316" s="1" t="n">
        <v>3314</v>
      </c>
      <c r="B3316" t="n">
        <v>2013</v>
      </c>
      <c r="C3316" s="2" t="n">
        <v>41289.67291666667</v>
      </c>
      <c r="D3316" t="inlineStr">
        <is>
          <t>G1</t>
        </is>
      </c>
      <c r="E3316" t="inlineStr">
        <is>
          <t>VENEZUELANOS</t>
        </is>
      </c>
      <c r="F3316" t="inlineStr"/>
      <c r="G3316" t="inlineStr">
        <is>
          <t>REUTERS</t>
        </is>
      </c>
      <c r="H3316" t="inlineStr">
        <is>
          <t>COLÔMBIA ESPERA AJUDA VENEZUELANA MESMO SE CHÁVEZ MORRER</t>
        </is>
      </c>
      <c r="I3316" t="inlineStr"/>
      <c r="J3316">
        <f>HYPERLINK("http://g1.globo.com/mundo/noticia/2013/01/colombia-espera-ajuda-venezuelana-em-negociacao-com-farc-mesmo-se-chavez-morrer.html", "URL")</f>
        <v/>
      </c>
      <c r="K3316">
        <f>HYPERLINK("https://raw.githubusercontent.com/marcosmapl/dataset_imigrantes/main/noticias_filtered/g1/venezuelanos/2013/00_jan/html/g1_f12a7056-2329-11ed-b24f-6dbe51e79fca_4148.html", "HTML")</f>
        <v/>
      </c>
      <c r="L3316">
        <f>HYPERLINK("https://raw.githubusercontent.com/marcosmapl/dataset_imigrantes/main/noticias_filtered/g1/venezuelanos/2013/00_jan/txt/g1_f12a7056-2329-11ed-b24f-6dbe51e79fca_4148.txt", "TXT")</f>
        <v/>
      </c>
    </row>
    <row r="3317">
      <c r="A3317" s="1" t="n">
        <v>3315</v>
      </c>
      <c r="B3317" t="n">
        <v>2013</v>
      </c>
      <c r="C3317" s="2" t="n">
        <v>41289.32916666667</v>
      </c>
      <c r="D3317" t="inlineStr">
        <is>
          <t>G1</t>
        </is>
      </c>
      <c r="E3317" t="inlineStr">
        <is>
          <t>VENEZUELANOS</t>
        </is>
      </c>
      <c r="F3317" t="inlineStr"/>
      <c r="G3317" t="inlineStr">
        <is>
          <t>ERS</t>
        </is>
      </c>
      <c r="H3317" t="inlineStr">
        <is>
          <t>OPOSIÇÃO VENEZUELANA PEDE À OEA DIREITO DE PALAVRA SOBRE CHÁVEZ</t>
        </is>
      </c>
      <c r="I3317" t="inlineStr"/>
      <c r="J3317">
        <f>HYPERLINK("http://g1.globo.com/mundo/noticia/2013/01/oposicao-venezuelana-pede-a-oea-direito-de-palavra-sobre-chavez.html", "URL")</f>
        <v/>
      </c>
      <c r="K3317">
        <f>HYPERLINK("https://raw.githubusercontent.com/marcosmapl/dataset_imigrantes/main/noticias_filtered/g1/venezuelanos/2013/00_jan/html/g1_99f8dc8e-2322-11ed-b24f-6dbe51e79fca_3760.html", "HTML")</f>
        <v/>
      </c>
      <c r="L3317">
        <f>HYPERLINK("https://raw.githubusercontent.com/marcosmapl/dataset_imigrantes/main/noticias_filtered/g1/venezuelanos/2013/00_jan/txt/g1_99f8dc8e-2322-11ed-b24f-6dbe51e79fca_3760.txt", "TXT")</f>
        <v/>
      </c>
    </row>
    <row r="3318">
      <c r="A3318" s="1" t="n">
        <v>3316</v>
      </c>
      <c r="B3318" t="n">
        <v>2013</v>
      </c>
      <c r="C3318" s="2" t="n">
        <v>41289.32916666667</v>
      </c>
      <c r="D3318" t="inlineStr">
        <is>
          <t>G1</t>
        </is>
      </c>
      <c r="E3318" t="inlineStr">
        <is>
          <t>VENEZUELANOS</t>
        </is>
      </c>
      <c r="F3318" t="inlineStr"/>
      <c r="G3318" t="inlineStr">
        <is>
          <t>ERS</t>
        </is>
      </c>
      <c r="H3318" t="inlineStr">
        <is>
          <t>OPOSIÇÃO VENEZUELANA PEDE À OEA DIREITO DE PALAVRA SOBRE CHÁVEZ</t>
        </is>
      </c>
      <c r="I3318" t="inlineStr"/>
      <c r="J3318">
        <f>HYPERLINK("http://g1.globo.com/mundo/noticia/2013/01/oposicao-venezuelana-pede-a-oea-direito-de-palavra-sobre-chavez-1.html", "URL")</f>
        <v/>
      </c>
      <c r="K3318">
        <f>HYPERLINK("https://raw.githubusercontent.com/marcosmapl/dataset_imigrantes/main/noticias_filtered/g1/venezuelanos/2013/00_jan/html/g1_c36da276-231c-11ed-b24f-6dbe51e79fca_3463.html", "HTML")</f>
        <v/>
      </c>
      <c r="L3318">
        <f>HYPERLINK("https://raw.githubusercontent.com/marcosmapl/dataset_imigrantes/main/noticias_filtered/g1/venezuelanos/2013/00_jan/txt/g1_c36da276-231c-11ed-b24f-6dbe51e79fca_3463.txt", "TXT")</f>
        <v/>
      </c>
    </row>
    <row r="3319">
      <c r="A3319" s="1" t="n">
        <v>3317</v>
      </c>
      <c r="B3319" t="n">
        <v>2013</v>
      </c>
      <c r="C3319" s="2" t="n">
        <v>41288.72225694444</v>
      </c>
      <c r="D3319" t="inlineStr">
        <is>
          <t>A CRITICA</t>
        </is>
      </c>
      <c r="E3319" t="inlineStr">
        <is>
          <t>VENEZUELANOS</t>
        </is>
      </c>
      <c r="F3319" t="inlineStr"/>
      <c r="G3319" t="inlineStr">
        <is>
          <t>RENATA GIRALDI*/ AGÊNCIA BRASIL</t>
        </is>
      </c>
      <c r="H3319" t="inlineStr">
        <is>
          <t>CHÁVEZ ESTÁ CONSCIENTE, EM CONTATO COM A FAMÍLIA E ALIADOS, DIZ MINISTRO</t>
        </is>
      </c>
      <c r="I3319" t="inlineStr">
        <is>
          <t>PRESIDENTE ESTÁ HOSPITALIZADO HÁ UM MÊS. MINISTRO DA  COMUNICAÇÃO E INFORMAÇÃO, ERNESTO VILLEGAS,  INFORMA QUE O ESTADO DE SAÚDE DE CHÁVEZ INSPIRA CUIDADOS DEVIDOS A INSUFICIÊNCIA RESPIRATÓRIA</t>
        </is>
      </c>
      <c r="J3319">
        <f>HYPERLINK("https://www.acritica.com/chavez-esta-consciente-em-contato-com-a-familia-e-aliados-diz-ministro-1.124681", "URL")</f>
        <v/>
      </c>
      <c r="K3319">
        <f>HYPERLINK("https://raw.githubusercontent.com/marcosmapl/dataset_imigrantes/main/noticias_filtered/a_critica/venezuelanos/2013/00_jan/html/1.124681_972.html", "HTML")</f>
        <v/>
      </c>
      <c r="L3319">
        <f>HYPERLINK("https://raw.githubusercontent.com/marcosmapl/dataset_imigrantes/main/noticias_filtered/a_critica/venezuelanos/2013/00_jan/txt/1.124681_972.txt", "TXT")</f>
        <v/>
      </c>
    </row>
    <row r="3320">
      <c r="A3320" s="1" t="n">
        <v>3318</v>
      </c>
      <c r="B3320" t="n">
        <v>2013</v>
      </c>
      <c r="C3320" s="2" t="n">
        <v>41288.50555555556</v>
      </c>
      <c r="D3320" t="inlineStr">
        <is>
          <t>G1</t>
        </is>
      </c>
      <c r="E3320" t="inlineStr">
        <is>
          <t>HAITIANOS</t>
        </is>
      </c>
      <c r="F3320" t="inlineStr"/>
      <c r="G3320" t="inlineStr">
        <is>
          <t>ISON SEVERIANODO G1 AM</t>
        </is>
      </c>
      <c r="H3320" t="inlineStr">
        <is>
          <t>PASTORAL CRITICA FALTA DE RECURSOS PARA AUXÍLIO A HAITIANOS REFUGIADOS NO AM</t>
        </is>
      </c>
      <c r="I3320" t="inlineStr"/>
      <c r="J3320">
        <f>HYPERLINK("http://g1.globo.com/am/amazonas/noticia/2013/01/pastoral-critica-falta-de-recursos-para-auxilio-haitianos-refugiados-no-am.html", "URL")</f>
        <v/>
      </c>
      <c r="K3320">
        <f>HYPERLINK("https://raw.githubusercontent.com/marcosmapl/dataset_imigrantes/main/noticias_filtered/g1/haitianos/2013/00_jan/html/g1_24e5477c-22f8-11ed-b24f-6dbe51e79fca_2117.html", "HTML")</f>
        <v/>
      </c>
      <c r="L3320">
        <f>HYPERLINK("https://raw.githubusercontent.com/marcosmapl/dataset_imigrantes/main/noticias_filtered/g1/haitianos/2013/00_jan/txt/g1_24e5477c-22f8-11ed-b24f-6dbe51e79fca_2117.txt", "TXT")</f>
        <v/>
      </c>
    </row>
    <row r="3321">
      <c r="A3321" s="1" t="n">
        <v>3319</v>
      </c>
      <c r="B3321" t="n">
        <v>2013</v>
      </c>
      <c r="C3321" s="2" t="n">
        <v>41287.71078703704</v>
      </c>
      <c r="D3321" t="inlineStr">
        <is>
          <t>A CRITICA</t>
        </is>
      </c>
      <c r="E3321" t="inlineStr">
        <is>
          <t>HAITIANOS</t>
        </is>
      </c>
      <c r="F3321" t="inlineStr">
        <is>
          <t>MANAUS</t>
        </is>
      </c>
      <c r="G3321" t="inlineStr">
        <is>
          <t>ACRÍTICA.COM</t>
        </is>
      </c>
      <c r="H3321" t="inlineStr">
        <is>
          <t>CASA DO IMIGRANTE ABUSA DE BOA VONTADE DE IGREJA E TRANSFERE PERUANOS PARA PARÓQUIA SEM AUTORIZAÇÃO</t>
        </is>
      </c>
      <c r="I3321" t="inlineStr">
        <is>
          <t>O PADRE DA PARÓQUIA DE SÃO GERALDO, NO BAIRRO DE MESMO NOME, ZONA CENTRO-SUL DE MANAUS, VALDECIR MAYER NOLINARI, DENUNCIOU AO ACRITICA.COM QUE O GOVERNO DO ESTADO ENCAMINHOU PERUANOS QUE ESTAVAM NA CASA DO IMIGRANTE PARA O TEMPLO RELIGIOSO SEM AUTORIZAÇÃO</t>
        </is>
      </c>
      <c r="J3321">
        <f>HYPERLINK("https://www.acritica.com/manaus/casa-do-imigrante-abusa-de-boa-vontade-de-igreja-e-transfere-peruanos-para-paroquia-sem-autorizac-o-1.124744", "URL")</f>
        <v/>
      </c>
      <c r="K3321">
        <f>HYPERLINK("https://raw.githubusercontent.com/marcosmapl/dataset_imigrantes/main/noticias_filtered/a_critica/haitianos/2013/00_jan/html/1.124744_569.html", "HTML")</f>
        <v/>
      </c>
      <c r="L3321">
        <f>HYPERLINK("https://raw.githubusercontent.com/marcosmapl/dataset_imigrantes/main/noticias_filtered/a_critica/haitianos/2013/00_jan/txt/1.124744_569.txt", "TXT")</f>
        <v/>
      </c>
    </row>
    <row r="3322">
      <c r="A3322" s="1" t="n">
        <v>3320</v>
      </c>
      <c r="B3322" t="n">
        <v>2013</v>
      </c>
      <c r="C3322" s="2" t="n">
        <v>41286.975</v>
      </c>
      <c r="D3322" t="inlineStr">
        <is>
          <t>G1</t>
        </is>
      </c>
      <c r="E3322" t="inlineStr">
        <is>
          <t>HAITIANOS</t>
        </is>
      </c>
      <c r="F3322" t="inlineStr"/>
      <c r="G3322" t="inlineStr"/>
      <c r="H3322" t="inlineStr">
        <is>
          <t>TRÊS ANOS APÓS TERREMOTO HAITI AINDA TEME A FOME</t>
        </is>
      </c>
      <c r="I3322" t="inlineStr"/>
      <c r="J3322">
        <f>HYPERLINK("http://g1.globo.com/mundo/noticia/2013/01/tres-anos-apos-terremoto-haiti-ainda-teme-a-fome.html", "URL")</f>
        <v/>
      </c>
      <c r="K3322">
        <f>HYPERLINK("https://raw.githubusercontent.com/marcosmapl/dataset_imigrantes/main/noticias_filtered/g1/haitianos/2013/00_jan/html/g1_2ac56d46-2309-11ed-b24f-6dbe51e79fca_2431.html", "HTML")</f>
        <v/>
      </c>
      <c r="L3322">
        <f>HYPERLINK("https://raw.githubusercontent.com/marcosmapl/dataset_imigrantes/main/noticias_filtered/g1/haitianos/2013/00_jan/txt/g1_2ac56d46-2309-11ed-b24f-6dbe51e79fca_2431.txt", "TXT")</f>
        <v/>
      </c>
    </row>
    <row r="3323">
      <c r="A3323" s="1" t="n">
        <v>3321</v>
      </c>
      <c r="B3323" t="n">
        <v>2013</v>
      </c>
      <c r="C3323" s="2" t="n">
        <v>41286.69599537037</v>
      </c>
      <c r="D3323" t="inlineStr">
        <is>
          <t>A CRITICA</t>
        </is>
      </c>
      <c r="E3323" t="inlineStr">
        <is>
          <t>HAITIANOS</t>
        </is>
      </c>
      <c r="F3323" t="inlineStr"/>
      <c r="G3323" t="inlineStr">
        <is>
          <t>RENATA GIRALDI/AGÊNCIA BRASIL</t>
        </is>
      </c>
      <c r="H3323" t="inlineStr">
        <is>
          <t>HAITI RELEMBRA TRÊS ANOS DO PIOR TERREMOTO DE SUA HISTÓRIA RECENTE</t>
        </is>
      </c>
      <c r="I3323" t="inlineStr">
        <is>
          <t>A RECONSTRUÇÃO DO PAÍS TEM SIDO PREJUDICADA POR OUTROS DESASTRES NATURAIS, COMO SECAS, ENCHENTES E FURACÕES, E PELA DIFICULDADE DO GOVERNO PARA COORDENAR RECURSOS PÚBLICOS.</t>
        </is>
      </c>
      <c r="J3323">
        <f>HYPERLINK("https://www.acritica.com/haiti-relembra-tres-anos-do-pior-terremoto-de-sua-historia-recente-1.124748", "URL")</f>
        <v/>
      </c>
      <c r="K3323">
        <f>HYPERLINK("https://raw.githubusercontent.com/marcosmapl/dataset_imigrantes/main/noticias_filtered/a_critica/haitianos/2013/00_jan/html/1.124748_1105.html", "HTML")</f>
        <v/>
      </c>
      <c r="L3323">
        <f>HYPERLINK("https://raw.githubusercontent.com/marcosmapl/dataset_imigrantes/main/noticias_filtered/a_critica/haitianos/2013/00_jan/txt/1.124748_1105.txt", "TXT")</f>
        <v/>
      </c>
    </row>
    <row r="3324">
      <c r="A3324" s="1" t="n">
        <v>3322</v>
      </c>
      <c r="B3324" t="n">
        <v>2013</v>
      </c>
      <c r="C3324" s="2" t="n">
        <v>41286.6375</v>
      </c>
      <c r="D3324" t="inlineStr">
        <is>
          <t>G1</t>
        </is>
      </c>
      <c r="E3324" t="inlineStr">
        <is>
          <t>HAITIANOS</t>
        </is>
      </c>
      <c r="F3324" t="inlineStr"/>
      <c r="G3324" t="inlineStr">
        <is>
          <t>CE PRESSE</t>
        </is>
      </c>
      <c r="H3324" t="inlineStr">
        <is>
          <t>PRESIDENTE HAITIANO LAMENTA LENTA RECONSTRUÇÃO APÓS TERREMOTO DE 2010</t>
        </is>
      </c>
      <c r="I3324" t="inlineStr"/>
      <c r="J3324">
        <f>HYPERLINK("http://g1.globo.com/mundo/noticia/2013/01/presidente-haitiano-lamenta-lenta-reconstrucao-apos-terremoto-de-2010.html", "URL")</f>
        <v/>
      </c>
      <c r="K3324">
        <f>HYPERLINK("https://raw.githubusercontent.com/marcosmapl/dataset_imigrantes/main/noticias_filtered/g1/haitianos/2013/00_jan/html/g1_3528248e-231f-11ed-b24f-6dbe51e79fca_3609.html", "HTML")</f>
        <v/>
      </c>
      <c r="L3324">
        <f>HYPERLINK("https://raw.githubusercontent.com/marcosmapl/dataset_imigrantes/main/noticias_filtered/g1/haitianos/2013/00_jan/txt/g1_3528248e-231f-11ed-b24f-6dbe51e79fca_3609.txt", "TXT")</f>
        <v/>
      </c>
    </row>
    <row r="3325">
      <c r="A3325" s="1" t="n">
        <v>3323</v>
      </c>
      <c r="B3325" t="n">
        <v>2013</v>
      </c>
      <c r="C3325" s="2" t="n">
        <v>41286.63541666666</v>
      </c>
      <c r="D3325" t="inlineStr">
        <is>
          <t>G1</t>
        </is>
      </c>
      <c r="E3325" t="inlineStr">
        <is>
          <t>HAITIANOS</t>
        </is>
      </c>
      <c r="F3325" t="inlineStr"/>
      <c r="G3325" t="inlineStr">
        <is>
          <t>CE PRESSE</t>
        </is>
      </c>
      <c r="H3325" t="inlineStr">
        <is>
          <t>LÍDER HAITIANO LAMENTA LENTA RECONSTRUÇÃO APÓS TERREMOTO DE 2010</t>
        </is>
      </c>
      <c r="I3325" t="inlineStr"/>
      <c r="J3325">
        <f>HYPERLINK("http://g1.globo.com/mundo/noticia/2013/01/lider-haitiano-lamenta-lenta-reconstrucao-apos-terremoto-de-2010.html", "URL")</f>
        <v/>
      </c>
      <c r="K3325">
        <f>HYPERLINK("https://raw.githubusercontent.com/marcosmapl/dataset_imigrantes/main/noticias_filtered/g1/haitianos/2013/00_jan/html/g1_f2c2f0d0-2308-11ed-b24f-6dbe51e79fca_2415.html", "HTML")</f>
        <v/>
      </c>
      <c r="L3325">
        <f>HYPERLINK("https://raw.githubusercontent.com/marcosmapl/dataset_imigrantes/main/noticias_filtered/g1/haitianos/2013/00_jan/txt/g1_f2c2f0d0-2308-11ed-b24f-6dbe51e79fca_2415.txt", "TXT")</f>
        <v/>
      </c>
    </row>
    <row r="3326">
      <c r="A3326" s="1" t="n">
        <v>3324</v>
      </c>
      <c r="B3326" t="n">
        <v>2013</v>
      </c>
      <c r="C3326" s="2" t="n">
        <v>41286.37291666667</v>
      </c>
      <c r="D3326" t="inlineStr">
        <is>
          <t>G1</t>
        </is>
      </c>
      <c r="E3326" t="inlineStr">
        <is>
          <t>HAITIANOS</t>
        </is>
      </c>
      <c r="F3326" t="inlineStr"/>
      <c r="G3326" t="inlineStr">
        <is>
          <t>BC</t>
        </is>
      </c>
      <c r="H3326" t="inlineStr">
        <is>
          <t>TRÊS ANOS APÓS TERREMOTO, POUCO DINHEIRO CHEGA A INSTITUIÇÕES HAITIANAS</t>
        </is>
      </c>
      <c r="I3326" t="inlineStr"/>
      <c r="J3326">
        <f>HYPERLINK("http://g1.globo.com/mundo/noticia/2013/01/tres-anos-apos-terremoto-pouco-dinheiro-externo-chega-a-instituicoes-haitianas.html", "URL")</f>
        <v/>
      </c>
      <c r="K3326">
        <f>HYPERLINK("https://raw.githubusercontent.com/marcosmapl/dataset_imigrantes/main/noticias_filtered/g1/haitianos/2013/00_jan/html/g1_30f40512-2311-11ed-b24f-6dbe51e79fca_2905.html", "HTML")</f>
        <v/>
      </c>
      <c r="L3326">
        <f>HYPERLINK("https://raw.githubusercontent.com/marcosmapl/dataset_imigrantes/main/noticias_filtered/g1/haitianos/2013/00_jan/txt/g1_30f40512-2311-11ed-b24f-6dbe51e79fca_2905.txt", "TXT")</f>
        <v/>
      </c>
    </row>
    <row r="3327">
      <c r="A3327" s="1" t="n">
        <v>3325</v>
      </c>
      <c r="B3327" t="n">
        <v>2013</v>
      </c>
      <c r="C3327" s="2" t="n">
        <v>41284.55940972222</v>
      </c>
      <c r="D3327" t="inlineStr">
        <is>
          <t>A CRITICA</t>
        </is>
      </c>
      <c r="E3327" t="inlineStr">
        <is>
          <t>HAITIANOS</t>
        </is>
      </c>
      <c r="F3327" t="inlineStr"/>
      <c r="G3327" t="inlineStr">
        <is>
          <t>RENATA GIRALDI /AGÊNCIA BRASIL</t>
        </is>
      </c>
      <c r="H3327" t="inlineStr">
        <is>
          <t>NO HAITI, 500 MIL PESSOAS PRECISAM DE AJUDA E MAIS DE 81 MIL SOFREM DE DESNUTRIÇÃO, DIZ ONU</t>
        </is>
      </c>
      <c r="I3327" t="inlineStr">
        <is>
          <t>PELAS AUTORIDADES DA ONU, A INSEGURANÇA ALIMENTAR AFETA 2,1 MILHÕES DE HAITIANOS. PARA A MINUSTAH, É FUNDAMENTAL INVESTIR US$ 144 MILHÕES NO HAITI</t>
        </is>
      </c>
      <c r="J3327">
        <f>HYPERLINK("https://www.acritica.com/no-haiti-500-mil-pessoas-precisam-de-ajuda-e-mais-de-81-mil-sofrem-de-desnutric-o-diz-onu-1.141737", "URL")</f>
        <v/>
      </c>
      <c r="K3327">
        <f>HYPERLINK("https://raw.githubusercontent.com/marcosmapl/dataset_imigrantes/main/noticias_filtered/a_critica/haitianos/2013/00_jan/html/1.141737_1235.html", "HTML")</f>
        <v/>
      </c>
      <c r="L3327">
        <f>HYPERLINK("https://raw.githubusercontent.com/marcosmapl/dataset_imigrantes/main/noticias_filtered/a_critica/haitianos/2013/00_jan/txt/1.141737_1235.txt", "TXT")</f>
        <v/>
      </c>
    </row>
    <row r="3328">
      <c r="A3328" s="1" t="n">
        <v>3326</v>
      </c>
      <c r="B3328" t="n">
        <v>2013</v>
      </c>
      <c r="C3328" s="2" t="n">
        <v>41282.89375</v>
      </c>
      <c r="D3328" t="inlineStr">
        <is>
          <t>G1</t>
        </is>
      </c>
      <c r="E3328" t="inlineStr">
        <is>
          <t>VENEZUELANOS</t>
        </is>
      </c>
      <c r="F3328" t="inlineStr"/>
      <c r="G3328" t="inlineStr">
        <is>
          <t>CE PRESSE</t>
        </is>
      </c>
      <c r="H3328" t="inlineStr">
        <is>
          <t>CAPRILES PEDE QUE JUSTIÇA SE PRONUNCIE SOBRE CRISE CONSTITUCIONAL VENEZUELANA</t>
        </is>
      </c>
      <c r="I3328" t="inlineStr"/>
      <c r="J3328">
        <f>HYPERLINK("http://g1.globo.com/mundo/noticia/2013/01/capriles-pede-que-justica-se-pronuncie-sobre-crise-constitucional-venezuelana-2.html", "URL")</f>
        <v/>
      </c>
      <c r="K3328">
        <f>HYPERLINK("https://raw.githubusercontent.com/marcosmapl/dataset_imigrantes/main/noticias_filtered/g1/venezuelanos/2013/00_jan/html/g1_d947f4d2-230a-11ed-b24f-6dbe51e79fca_2532.html", "HTML")</f>
        <v/>
      </c>
      <c r="L3328">
        <f>HYPERLINK("https://raw.githubusercontent.com/marcosmapl/dataset_imigrantes/main/noticias_filtered/g1/venezuelanos/2013/00_jan/txt/g1_d947f4d2-230a-11ed-b24f-6dbe51e79fca_2532.txt", "TXT")</f>
        <v/>
      </c>
    </row>
    <row r="3329">
      <c r="A3329" s="1" t="n">
        <v>3327</v>
      </c>
      <c r="B3329" t="n">
        <v>2013</v>
      </c>
      <c r="C3329" s="2" t="n">
        <v>41282.68333333333</v>
      </c>
      <c r="D3329" t="inlineStr">
        <is>
          <t>G1</t>
        </is>
      </c>
      <c r="E3329" t="inlineStr">
        <is>
          <t>VENEZUELANOS</t>
        </is>
      </c>
      <c r="F3329" t="inlineStr"/>
      <c r="G3329" t="inlineStr">
        <is>
          <t>CE PRESSE</t>
        </is>
      </c>
      <c r="H3329" t="inlineStr">
        <is>
          <t>CAPRILES PEDE QUE JUSTIÇA SE PRONUNCIE SOBRE CRISE CONSTITUCIONAL VENEZUELANA</t>
        </is>
      </c>
      <c r="I3329" t="inlineStr"/>
      <c r="J3329">
        <f>HYPERLINK("http://g1.globo.com/mundo/noticia/2013/01/capriles-pede-que-justica-se-pronuncie-sobre-crise-constitucional-venezuelana.html", "URL")</f>
        <v/>
      </c>
      <c r="K3329">
        <f>HYPERLINK("https://raw.githubusercontent.com/marcosmapl/dataset_imigrantes/main/noticias_filtered/g1/venezuelanos/2013/00_jan/html/g1_e06ac7a0-232b-11ed-b24f-6dbe51e79fca_4276.html", "HTML")</f>
        <v/>
      </c>
      <c r="L3329">
        <f>HYPERLINK("https://raw.githubusercontent.com/marcosmapl/dataset_imigrantes/main/noticias_filtered/g1/venezuelanos/2013/00_jan/txt/g1_e06ac7a0-232b-11ed-b24f-6dbe51e79fca_4276.txt", "TXT")</f>
        <v/>
      </c>
    </row>
    <row r="3330">
      <c r="A3330" s="1" t="n">
        <v>3328</v>
      </c>
      <c r="B3330" t="n">
        <v>2013</v>
      </c>
      <c r="C3330" s="2" t="n">
        <v>41282.57708333333</v>
      </c>
      <c r="D3330" t="inlineStr">
        <is>
          <t>G1</t>
        </is>
      </c>
      <c r="E3330" t="inlineStr">
        <is>
          <t>VENEZUELANOS</t>
        </is>
      </c>
      <c r="F3330" t="inlineStr"/>
      <c r="G3330" t="inlineStr">
        <is>
          <t>CE PRESSE</t>
        </is>
      </c>
      <c r="H3330" t="inlineStr">
        <is>
          <t>OPOSIÇÃO VENEZUELANA DENUNCIA RISCO DE 'VIOLAÇÃO DA ORDEM CONSTITUCIONAL'</t>
        </is>
      </c>
      <c r="I3330" t="inlineStr"/>
      <c r="J3330">
        <f>HYPERLINK("http://g1.globo.com/mundo/noticia/2013/01/oposicao-venezuelana-denuncia-risco-de-violacao-da-ordem-constitucional-1.html", "URL")</f>
        <v/>
      </c>
      <c r="K3330">
        <f>HYPERLINK("https://raw.githubusercontent.com/marcosmapl/dataset_imigrantes/main/noticias_filtered/g1/venezuelanos/2013/00_jan/html/g1_6ac0db7a-232b-11ed-b24f-6dbe51e79fca_4244.html", "HTML")</f>
        <v/>
      </c>
      <c r="L3330">
        <f>HYPERLINK("https://raw.githubusercontent.com/marcosmapl/dataset_imigrantes/main/noticias_filtered/g1/venezuelanos/2013/00_jan/txt/g1_6ac0db7a-232b-11ed-b24f-6dbe51e79fca_4244.txt", "TXT")</f>
        <v/>
      </c>
    </row>
    <row r="3331">
      <c r="A3331" s="1" t="n">
        <v>3329</v>
      </c>
      <c r="B3331" t="n">
        <v>2013</v>
      </c>
      <c r="C3331" s="2" t="n">
        <v>41282.55833333333</v>
      </c>
      <c r="D3331" t="inlineStr">
        <is>
          <t>G1</t>
        </is>
      </c>
      <c r="E3331" t="inlineStr">
        <is>
          <t>VENEZUELANOS</t>
        </is>
      </c>
      <c r="F3331" t="inlineStr"/>
      <c r="G3331" t="inlineStr">
        <is>
          <t>CE PRESSE</t>
        </is>
      </c>
      <c r="H3331" t="inlineStr">
        <is>
          <t>OPOSIÇÃO VENEZUELANA DENUNCIA RISCO DE 'VIOLAÇÃO DA ORDEM CONSTITUCIONAL'</t>
        </is>
      </c>
      <c r="I3331" t="inlineStr"/>
      <c r="J3331">
        <f>HYPERLINK("http://g1.globo.com/mundo/noticia/2013/01/oposicao-venezuelana-denuncia-risco-de-violacao-da-ordem-constitucional.html", "URL")</f>
        <v/>
      </c>
      <c r="K3331">
        <f>HYPERLINK("https://raw.githubusercontent.com/marcosmapl/dataset_imigrantes/main/noticias_filtered/g1/venezuelanos/2013/00_jan/html/g1_11c756be-232d-11ed-b24f-6dbe51e79fca_4341.html", "HTML")</f>
        <v/>
      </c>
      <c r="L3331">
        <f>HYPERLINK("https://raw.githubusercontent.com/marcosmapl/dataset_imigrantes/main/noticias_filtered/g1/venezuelanos/2013/00_jan/txt/g1_11c756be-232d-11ed-b24f-6dbe51e79fca_4341.txt", "TXT")</f>
        <v/>
      </c>
    </row>
    <row r="3332">
      <c r="A3332" s="1" t="n">
        <v>3330</v>
      </c>
      <c r="B3332" t="n">
        <v>2013</v>
      </c>
      <c r="C3332" s="2" t="n">
        <v>41282.52847222222</v>
      </c>
      <c r="D3332" t="inlineStr">
        <is>
          <t>G1</t>
        </is>
      </c>
      <c r="E3332" t="inlineStr">
        <is>
          <t>VENEZUELANOS</t>
        </is>
      </c>
      <c r="F3332" t="inlineStr"/>
      <c r="G3332" t="inlineStr">
        <is>
          <t>1, COM AGÊNCIAS INTERNACIONAIS</t>
        </is>
      </c>
      <c r="H3332" t="inlineStr">
        <is>
          <t>OPOSIÇÃO VENEZUELANA VÊ RISCO DE 'VIOLAÇÃO DA ORDEM CONSTITUCIONAL'</t>
        </is>
      </c>
      <c r="I3332" t="inlineStr"/>
      <c r="J3332">
        <f>HYPERLINK("http://g1.globo.com/mundo/noticia/2013/01/oposicao-venezuelana-ve-risco-de-violacao-da-ordem-constitucional.html", "URL")</f>
        <v/>
      </c>
      <c r="K3332">
        <f>HYPERLINK("https://raw.githubusercontent.com/marcosmapl/dataset_imigrantes/main/noticias_filtered/g1/venezuelanos/2013/00_jan/html/g1_2a6ea132-2313-11ed-b24f-6dbe51e79fca_2997.html", "HTML")</f>
        <v/>
      </c>
      <c r="L3332">
        <f>HYPERLINK("https://raw.githubusercontent.com/marcosmapl/dataset_imigrantes/main/noticias_filtered/g1/venezuelanos/2013/00_jan/txt/g1_2a6ea132-2313-11ed-b24f-6dbe51e79fca_2997.txt", "TXT")</f>
        <v/>
      </c>
    </row>
    <row r="3333">
      <c r="A3333" s="1" t="n">
        <v>3331</v>
      </c>
      <c r="B3333" t="n">
        <v>2013</v>
      </c>
      <c r="C3333" s="2" t="n">
        <v>41282.34444444445</v>
      </c>
      <c r="D3333" t="inlineStr">
        <is>
          <t>G1</t>
        </is>
      </c>
      <c r="E3333" t="inlineStr">
        <is>
          <t>VENEZUELANOS</t>
        </is>
      </c>
      <c r="F3333" t="inlineStr"/>
      <c r="G3333" t="inlineStr"/>
      <c r="H3333" t="inlineStr">
        <is>
          <t>OPOSIÇÃO DIZ QUE DEMOCRACIA VENEZUELANA ESTÁ DOENTE</t>
        </is>
      </c>
      <c r="I3333" t="inlineStr"/>
      <c r="J3333">
        <f>HYPERLINK("http://g1.globo.com/bom-dia-brasil/noticia/2013/01/oposicao-diz-que-democracia-venezuelana-esta-doente.html", "URL")</f>
        <v/>
      </c>
      <c r="K3333">
        <f>HYPERLINK("https://raw.githubusercontent.com/marcosmapl/dataset_imigrantes/main/noticias_filtered/g1/venezuelanos/2013/00_jan/html/g1_9c6f33ca-2307-11ed-b24f-6dbe51e79fca_2330.html", "HTML")</f>
        <v/>
      </c>
      <c r="L3333">
        <f>HYPERLINK("https://raw.githubusercontent.com/marcosmapl/dataset_imigrantes/main/noticias_filtered/g1/venezuelanos/2013/00_jan/txt/g1_9c6f33ca-2307-11ed-b24f-6dbe51e79fca_2330.txt", "TXT")</f>
        <v/>
      </c>
    </row>
    <row r="3334">
      <c r="A3334" s="1" t="n">
        <v>3332</v>
      </c>
      <c r="B3334" t="n">
        <v>2013</v>
      </c>
      <c r="C3334" s="2" t="n">
        <v>41279.83333333334</v>
      </c>
      <c r="D3334" t="inlineStr">
        <is>
          <t>G1</t>
        </is>
      </c>
      <c r="E3334" t="inlineStr">
        <is>
          <t>VENEZUELANOS</t>
        </is>
      </c>
      <c r="F3334" t="inlineStr"/>
      <c r="G3334" t="inlineStr">
        <is>
          <t>CE PRESSE</t>
        </is>
      </c>
      <c r="H3334" t="inlineStr">
        <is>
          <t>DIOSDADO CABELLO É REELEITO PRESIDENTE DA ASSEMBLEIA VENEZUELANA</t>
        </is>
      </c>
      <c r="I3334" t="inlineStr"/>
      <c r="J3334">
        <f>HYPERLINK("http://g1.globo.com/mundo/noticia/2013/01/diosdado-cabello-e-reeleito-presidente-da-assembleia-venezuelana-3.html", "URL")</f>
        <v/>
      </c>
      <c r="K3334">
        <f>HYPERLINK("https://raw.githubusercontent.com/marcosmapl/dataset_imigrantes/main/noticias_filtered/g1/venezuelanos/2013/00_jan/html/g1_ab1ed338-230e-11ed-b24f-6dbe51e79fca_2750.html", "HTML")</f>
        <v/>
      </c>
      <c r="L3334">
        <f>HYPERLINK("https://raw.githubusercontent.com/marcosmapl/dataset_imigrantes/main/noticias_filtered/g1/venezuelanos/2013/00_jan/txt/g1_ab1ed338-230e-11ed-b24f-6dbe51e79fca_2750.txt", "TXT")</f>
        <v/>
      </c>
    </row>
    <row r="3335">
      <c r="A3335" s="1" t="n">
        <v>3333</v>
      </c>
      <c r="B3335" t="n">
        <v>2013</v>
      </c>
      <c r="C3335" s="2" t="n">
        <v>41279.82916666667</v>
      </c>
      <c r="D3335" t="inlineStr">
        <is>
          <t>G1</t>
        </is>
      </c>
      <c r="E3335" t="inlineStr">
        <is>
          <t>VENEZUELANOS</t>
        </is>
      </c>
      <c r="F3335" t="inlineStr"/>
      <c r="G3335" t="inlineStr"/>
      <c r="H3335" t="inlineStr">
        <is>
          <t>ALIADO DE CHÁVEZ É REELEITO PRESIDENTE DE ASSEMBLEIA VENEZUELANA</t>
        </is>
      </c>
      <c r="I3335" t="inlineStr"/>
      <c r="J3335">
        <f>HYPERLINK("http://g1.globo.com/mundo/noticia/2013/01/aliado-de-chavez-e-reeleito-presidente-de-assembleia-venezuelana.html", "URL")</f>
        <v/>
      </c>
      <c r="K3335">
        <f>HYPERLINK("https://raw.githubusercontent.com/marcosmapl/dataset_imigrantes/main/noticias_filtered/g1/venezuelanos/2013/00_jan/html/g1_12d15d06-231f-11ed-b24f-6dbe51e79fca_3599.html", "HTML")</f>
        <v/>
      </c>
      <c r="L3335">
        <f>HYPERLINK("https://raw.githubusercontent.com/marcosmapl/dataset_imigrantes/main/noticias_filtered/g1/venezuelanos/2013/00_jan/txt/g1_12d15d06-231f-11ed-b24f-6dbe51e79fca_3599.txt", "TXT")</f>
        <v/>
      </c>
    </row>
    <row r="3336">
      <c r="A3336" s="1" t="n">
        <v>3334</v>
      </c>
      <c r="B3336" t="n">
        <v>2013</v>
      </c>
      <c r="C3336" s="2" t="n">
        <v>41279.7625</v>
      </c>
      <c r="D3336" t="inlineStr">
        <is>
          <t>G1</t>
        </is>
      </c>
      <c r="E3336" t="inlineStr">
        <is>
          <t>VENEZUELANOS</t>
        </is>
      </c>
      <c r="F3336" t="inlineStr"/>
      <c r="G3336" t="inlineStr">
        <is>
          <t>CE PRESSE</t>
        </is>
      </c>
      <c r="H3336" t="inlineStr">
        <is>
          <t>DIOSDADO CABELLO É REELEITO PRESIDENTE DA ASSEMBLEIA VENEZUELANA</t>
        </is>
      </c>
      <c r="I3336" t="inlineStr"/>
      <c r="J3336">
        <f>HYPERLINK("http://g1.globo.com/mundo/noticia/2013/01/diosdado-cabello-e-reeleito-presidente-da-assembleia-venezuelana-2.html", "URL")</f>
        <v/>
      </c>
      <c r="K3336">
        <f>HYPERLINK("https://raw.githubusercontent.com/marcosmapl/dataset_imigrantes/main/noticias_filtered/g1/venezuelanos/2013/00_jan/html/g1_fcbd5206-2317-11ed-b24f-6dbe51e79fca_3238.html", "HTML")</f>
        <v/>
      </c>
      <c r="L3336">
        <f>HYPERLINK("https://raw.githubusercontent.com/marcosmapl/dataset_imigrantes/main/noticias_filtered/g1/venezuelanos/2013/00_jan/txt/g1_fcbd5206-2317-11ed-b24f-6dbe51e79fca_3238.txt", "TXT")</f>
        <v/>
      </c>
    </row>
    <row r="3337">
      <c r="A3337" s="1" t="n">
        <v>3335</v>
      </c>
      <c r="B3337" t="n">
        <v>2013</v>
      </c>
      <c r="C3337" s="2" t="n">
        <v>41279.71666666667</v>
      </c>
      <c r="D3337" t="inlineStr">
        <is>
          <t>G1</t>
        </is>
      </c>
      <c r="E3337" t="inlineStr">
        <is>
          <t>VENEZUELANOS</t>
        </is>
      </c>
      <c r="F3337" t="inlineStr"/>
      <c r="G3337" t="inlineStr">
        <is>
          <t>CE PRESSE</t>
        </is>
      </c>
      <c r="H3337" t="inlineStr">
        <is>
          <t>DIOSDADO CABELLO É REELEITO PRESIDENTE DA ASSEMBLEIA VENEZUELANA</t>
        </is>
      </c>
      <c r="I3337" t="inlineStr"/>
      <c r="J3337">
        <f>HYPERLINK("http://g1.globo.com/mundo/noticia/2013/01/diosdado-cabello-e-reeleito-presidente-da-assembleia-venezuelana-1.html", "URL")</f>
        <v/>
      </c>
      <c r="K3337">
        <f>HYPERLINK("https://raw.githubusercontent.com/marcosmapl/dataset_imigrantes/main/noticias_filtered/g1/venezuelanos/2013/00_jan/html/g1_fabf5c7c-230f-11ed-b24f-6dbe51e79fca_2831.html", "HTML")</f>
        <v/>
      </c>
      <c r="L3337">
        <f>HYPERLINK("https://raw.githubusercontent.com/marcosmapl/dataset_imigrantes/main/noticias_filtered/g1/venezuelanos/2013/00_jan/txt/g1_fabf5c7c-230f-11ed-b24f-6dbe51e79fca_2831.txt", "TXT")</f>
        <v/>
      </c>
    </row>
    <row r="3338">
      <c r="A3338" s="1" t="n">
        <v>3336</v>
      </c>
      <c r="B3338" t="n">
        <v>2013</v>
      </c>
      <c r="C3338" s="2" t="n">
        <v>41279.70416666667</v>
      </c>
      <c r="D3338" t="inlineStr">
        <is>
          <t>G1</t>
        </is>
      </c>
      <c r="E3338" t="inlineStr">
        <is>
          <t>VENEZUELANOS</t>
        </is>
      </c>
      <c r="F3338" t="inlineStr"/>
      <c r="G3338" t="inlineStr">
        <is>
          <t>CE PRESSE</t>
        </is>
      </c>
      <c r="H3338" t="inlineStr">
        <is>
          <t>DIOSDADO CABELLO É REELEITO PRESIDENTE DA ASSEMBLEIA VENEZUELANA</t>
        </is>
      </c>
      <c r="I3338" t="inlineStr"/>
      <c r="J3338">
        <f>HYPERLINK("http://g1.globo.com/mundo/noticia/2013/01/diosdado-cabello-e-reeleito-presidente-da-assembleia-venezuelana.html", "URL")</f>
        <v/>
      </c>
      <c r="K3338">
        <f>HYPERLINK("https://raw.githubusercontent.com/marcosmapl/dataset_imigrantes/main/noticias_filtered/g1/venezuelanos/2013/00_jan/html/g1_d3ad0974-2308-11ed-b24f-6dbe51e79fca_2406.html", "HTML")</f>
        <v/>
      </c>
      <c r="L3338">
        <f>HYPERLINK("https://raw.githubusercontent.com/marcosmapl/dataset_imigrantes/main/noticias_filtered/g1/venezuelanos/2013/00_jan/txt/g1_d3ad0974-2308-11ed-b24f-6dbe51e79fca_2406.txt", "TXT")</f>
        <v/>
      </c>
    </row>
    <row r="3339">
      <c r="A3339" s="1" t="n">
        <v>3337</v>
      </c>
      <c r="B3339" t="n">
        <v>2013</v>
      </c>
      <c r="C3339" s="2" t="n">
        <v>41279.63541666666</v>
      </c>
      <c r="D3339" t="inlineStr">
        <is>
          <t>G1</t>
        </is>
      </c>
      <c r="E3339" t="inlineStr">
        <is>
          <t>VENEZUELANOS</t>
        </is>
      </c>
      <c r="F3339" t="inlineStr"/>
      <c r="G3339" t="inlineStr">
        <is>
          <t>CE PRESSE</t>
        </is>
      </c>
      <c r="H3339" t="inlineStr">
        <is>
          <t>ARTIGOS DA CONSTITUIÇÃO VENEZUELANA NO CENTRO DA POLÊMICA</t>
        </is>
      </c>
      <c r="I3339" t="inlineStr"/>
      <c r="J3339">
        <f>HYPERLINK("http://g1.globo.com/mundo/noticia/2013/01/artigos-da-constituicao-venezuelana-no-centro-da-polemica.html", "URL")</f>
        <v/>
      </c>
      <c r="K3339">
        <f>HYPERLINK("https://raw.githubusercontent.com/marcosmapl/dataset_imigrantes/main/noticias_filtered/g1/venezuelanos/2013/00_jan/html/g1_4131a58e-231a-11ed-b24f-6dbe51e79fca_3325.html", "HTML")</f>
        <v/>
      </c>
      <c r="L3339">
        <f>HYPERLINK("https://raw.githubusercontent.com/marcosmapl/dataset_imigrantes/main/noticias_filtered/g1/venezuelanos/2013/00_jan/txt/g1_4131a58e-231a-11ed-b24f-6dbe51e79fca_3325.txt", "TXT")</f>
        <v/>
      </c>
    </row>
    <row r="3340">
      <c r="A3340" s="1" t="n">
        <v>3338</v>
      </c>
      <c r="B3340" t="n">
        <v>2013</v>
      </c>
      <c r="C3340" s="2" t="n">
        <v>41279.61041666667</v>
      </c>
      <c r="D3340" t="inlineStr">
        <is>
          <t>G1</t>
        </is>
      </c>
      <c r="E3340" t="inlineStr">
        <is>
          <t>VENEZUELANOS</t>
        </is>
      </c>
      <c r="F3340" t="inlineStr"/>
      <c r="G3340" t="inlineStr">
        <is>
          <t>FP</t>
        </is>
      </c>
      <c r="H3340" t="inlineStr">
        <is>
          <t>ASSEMBLEIA VENEZUELANA INICIA SESSÃO SOB INCERTEZA SOBRE CHÁVEZ</t>
        </is>
      </c>
      <c r="I3340" t="inlineStr"/>
      <c r="J3340">
        <f>HYPERLINK("http://g1.globo.com/mundo/noticia/2013/01/assembleia-venezuelana-inicia-sessoes-em-meio-a-debate-sobre-posse-de-chavez.html", "URL")</f>
        <v/>
      </c>
      <c r="K3340">
        <f>HYPERLINK("https://raw.githubusercontent.com/marcosmapl/dataset_imigrantes/main/noticias_filtered/g1/venezuelanos/2013/00_jan/html/g1_92152f8c-231c-11ed-b24f-6dbe51e79fca_3453.html", "HTML")</f>
        <v/>
      </c>
      <c r="L3340">
        <f>HYPERLINK("https://raw.githubusercontent.com/marcosmapl/dataset_imigrantes/main/noticias_filtered/g1/venezuelanos/2013/00_jan/txt/g1_92152f8c-231c-11ed-b24f-6dbe51e79fca_3453.txt", "TXT")</f>
        <v/>
      </c>
    </row>
    <row r="3341">
      <c r="A3341" s="1" t="n">
        <v>3339</v>
      </c>
      <c r="B3341" t="n">
        <v>2013</v>
      </c>
      <c r="C3341" s="2" t="n">
        <v>41279.60208333333</v>
      </c>
      <c r="D3341" t="inlineStr">
        <is>
          <t>G1</t>
        </is>
      </c>
      <c r="E3341" t="inlineStr">
        <is>
          <t>VENEZUELANOS</t>
        </is>
      </c>
      <c r="F3341" t="inlineStr"/>
      <c r="G3341" t="inlineStr"/>
      <c r="H3341" t="inlineStr">
        <is>
          <t>ASSEMBLEIA NACIONAL VENEZUELANA ESCOLHE POSSÍVEL PRESIDENTE</t>
        </is>
      </c>
      <c r="I3341" t="inlineStr"/>
      <c r="J3341">
        <f>HYPERLINK("http://g1.globo.com/mundo/noticia/2013/01/assembleia-nacional-venezuelana-escolhe-possivel-presidente.html", "URL")</f>
        <v/>
      </c>
      <c r="K3341">
        <f>HYPERLINK("https://raw.githubusercontent.com/marcosmapl/dataset_imigrantes/main/noticias_filtered/g1/venezuelanos/2013/00_jan/html/g1_a3d75004-230a-11ed-b24f-6dbe51e79fca_2517.html", "HTML")</f>
        <v/>
      </c>
      <c r="L3341">
        <f>HYPERLINK("https://raw.githubusercontent.com/marcosmapl/dataset_imigrantes/main/noticias_filtered/g1/venezuelanos/2013/00_jan/txt/g1_a3d75004-230a-11ed-b24f-6dbe51e79fca_2517.txt", "TXT")</f>
        <v/>
      </c>
    </row>
    <row r="3342">
      <c r="A3342" s="1" t="n">
        <v>3340</v>
      </c>
      <c r="B3342" t="n">
        <v>2013</v>
      </c>
      <c r="C3342" s="2" t="n">
        <v>41279.60208333333</v>
      </c>
      <c r="D3342" t="inlineStr">
        <is>
          <t>G1</t>
        </is>
      </c>
      <c r="E3342" t="inlineStr">
        <is>
          <t>VENEZUELANOS</t>
        </is>
      </c>
      <c r="F3342" t="inlineStr"/>
      <c r="G3342" t="inlineStr"/>
      <c r="H3342" t="inlineStr">
        <is>
          <t>ASSEMBLEIA NACIONAL VENEZUELANA ESCOLHE POTENCIAL PRESIDENTE INTER</t>
        </is>
      </c>
      <c r="I3342" t="inlineStr"/>
      <c r="J3342">
        <f>HYPERLINK("http://g1.globo.com/mundo/noticia/2013/01/assembleia-nacional-venezuelana-escolhe-potencial-presidente-inter-1.html", "URL")</f>
        <v/>
      </c>
      <c r="K3342">
        <f>HYPERLINK("https://raw.githubusercontent.com/marcosmapl/dataset_imigrantes/main/noticias_filtered/g1/venezuelanos/2013/00_jan/html/g1_c73883a8-2308-11ed-b24f-6dbe51e79fca_2403.html", "HTML")</f>
        <v/>
      </c>
      <c r="L3342">
        <f>HYPERLINK("https://raw.githubusercontent.com/marcosmapl/dataset_imigrantes/main/noticias_filtered/g1/venezuelanos/2013/00_jan/txt/g1_c73883a8-2308-11ed-b24f-6dbe51e79fca_2403.txt", "TXT")</f>
        <v/>
      </c>
    </row>
    <row r="3343">
      <c r="A3343" s="1" t="n">
        <v>3341</v>
      </c>
      <c r="B3343" t="n">
        <v>2013</v>
      </c>
      <c r="C3343" s="2" t="n">
        <v>41279.59583333333</v>
      </c>
      <c r="D3343" t="inlineStr">
        <is>
          <t>G1</t>
        </is>
      </c>
      <c r="E3343" t="inlineStr">
        <is>
          <t>VENEZUELANOS</t>
        </is>
      </c>
      <c r="F3343" t="inlineStr"/>
      <c r="G3343" t="inlineStr"/>
      <c r="H3343" t="inlineStr">
        <is>
          <t>ASSEMBLEIA NACIONAL VENEZUELANA ESCOLHE POTENCIAL PRESIDENTE INTER</t>
        </is>
      </c>
      <c r="I3343" t="inlineStr"/>
      <c r="J3343">
        <f>HYPERLINK("http://g1.globo.com/mundo/noticia/2013/01/assembleia-nacional-venezuelana-escolhe-potencial-presidente-inter.html", "URL")</f>
        <v/>
      </c>
      <c r="K3343">
        <f>HYPERLINK("https://raw.githubusercontent.com/marcosmapl/dataset_imigrantes/main/noticias_filtered/g1/venezuelanos/2013/00_jan/html/g1_2fa9e184-231d-11ed-b24f-6dbe51e79fca_3488.html", "HTML")</f>
        <v/>
      </c>
      <c r="L3343">
        <f>HYPERLINK("https://raw.githubusercontent.com/marcosmapl/dataset_imigrantes/main/noticias_filtered/g1/venezuelanos/2013/00_jan/txt/g1_2fa9e184-231d-11ed-b24f-6dbe51e79fca_3488.txt", "TXT")</f>
        <v/>
      </c>
    </row>
    <row r="3344">
      <c r="A3344" s="1" t="n">
        <v>3342</v>
      </c>
      <c r="B3344" t="n">
        <v>2013</v>
      </c>
      <c r="C3344" s="2" t="n">
        <v>41279.59166666667</v>
      </c>
      <c r="D3344" t="inlineStr">
        <is>
          <t>G1</t>
        </is>
      </c>
      <c r="E3344" t="inlineStr">
        <is>
          <t>VENEZUELANOS</t>
        </is>
      </c>
      <c r="F3344" t="inlineStr"/>
      <c r="G3344" t="inlineStr"/>
      <c r="H3344" t="inlineStr">
        <is>
          <t>ASSEMBLÉIA NACIONAL VENEZUELANA REABRE SOB INCERTEZA</t>
        </is>
      </c>
      <c r="I3344" t="inlineStr"/>
      <c r="J3344">
        <f>HYPERLINK("http://g1.globo.com/mundo/noticia/2013/01/assembleia-nacional-venezuelana-reabre-sob-incerteza-2.html", "URL")</f>
        <v/>
      </c>
      <c r="K3344">
        <f>HYPERLINK("https://raw.githubusercontent.com/marcosmapl/dataset_imigrantes/main/noticias_filtered/g1/venezuelanos/2013/00_jan/html/g1_49e1be32-230e-11ed-b24f-6dbe51e79fca_2732.html", "HTML")</f>
        <v/>
      </c>
      <c r="L3344">
        <f>HYPERLINK("https://raw.githubusercontent.com/marcosmapl/dataset_imigrantes/main/noticias_filtered/g1/venezuelanos/2013/00_jan/txt/g1_49e1be32-230e-11ed-b24f-6dbe51e79fca_2732.txt", "TXT")</f>
        <v/>
      </c>
    </row>
    <row r="3345">
      <c r="A3345" s="1" t="n">
        <v>3343</v>
      </c>
      <c r="B3345" t="n">
        <v>2013</v>
      </c>
      <c r="C3345" s="2" t="n">
        <v>41279.5875</v>
      </c>
      <c r="D3345" t="inlineStr">
        <is>
          <t>G1</t>
        </is>
      </c>
      <c r="E3345" t="inlineStr">
        <is>
          <t>VENEZUELANOS</t>
        </is>
      </c>
      <c r="F3345" t="inlineStr"/>
      <c r="G3345" t="inlineStr"/>
      <c r="H3345" t="inlineStr">
        <is>
          <t>ASSEMBLÉIA NACIONAL VENEZUELANA REABRE SOB INCERTEZA</t>
        </is>
      </c>
      <c r="I3345" t="inlineStr"/>
      <c r="J3345">
        <f>HYPERLINK("http://g1.globo.com/mundo/noticia/2013/01/assembleia-nacional-venezuelana-reabre-sob-incerteza-1.html", "URL")</f>
        <v/>
      </c>
      <c r="K3345">
        <f>HYPERLINK("https://raw.githubusercontent.com/marcosmapl/dataset_imigrantes/main/noticias_filtered/g1/venezuelanos/2013/00_jan/html/g1_77579576-231d-11ed-b24f-6dbe51e79fca_3502.html", "HTML")</f>
        <v/>
      </c>
      <c r="L3345">
        <f>HYPERLINK("https://raw.githubusercontent.com/marcosmapl/dataset_imigrantes/main/noticias_filtered/g1/venezuelanos/2013/00_jan/txt/g1_77579576-231d-11ed-b24f-6dbe51e79fca_3502.txt", "TXT")</f>
        <v/>
      </c>
    </row>
    <row r="3346">
      <c r="A3346" s="1" t="n">
        <v>3344</v>
      </c>
      <c r="B3346" t="n">
        <v>2013</v>
      </c>
      <c r="C3346" s="2" t="n">
        <v>41279.58541666667</v>
      </c>
      <c r="D3346" t="inlineStr">
        <is>
          <t>G1</t>
        </is>
      </c>
      <c r="E3346" t="inlineStr">
        <is>
          <t>VENEZUELANOS</t>
        </is>
      </c>
      <c r="F3346" t="inlineStr"/>
      <c r="G3346" t="inlineStr"/>
      <c r="H3346" t="inlineStr">
        <is>
          <t>ASSEMBLÉIA NACIONAL VENEZUELANA REABRE SOB INCERTEZA</t>
        </is>
      </c>
      <c r="I3346" t="inlineStr"/>
      <c r="J3346">
        <f>HYPERLINK("http://g1.globo.com/mundo/noticia/2013/01/assembleia-nacional-venezuelana-reabre-sob-incerteza.html", "URL")</f>
        <v/>
      </c>
      <c r="K3346">
        <f>HYPERLINK("https://raw.githubusercontent.com/marcosmapl/dataset_imigrantes/main/noticias_filtered/g1/venezuelanos/2013/00_jan/html/g1_67c2d4f6-2325-11ed-b24f-6dbe51e79fca_3911.html", "HTML")</f>
        <v/>
      </c>
      <c r="L3346">
        <f>HYPERLINK("https://raw.githubusercontent.com/marcosmapl/dataset_imigrantes/main/noticias_filtered/g1/venezuelanos/2013/00_jan/txt/g1_67c2d4f6-2325-11ed-b24f-6dbe51e79fca_3911.txt", "TXT")</f>
        <v/>
      </c>
    </row>
    <row r="3347">
      <c r="A3347" s="1" t="n">
        <v>3345</v>
      </c>
      <c r="B3347" t="n">
        <v>2013</v>
      </c>
      <c r="C3347" s="2" t="n">
        <v>41278.89743055555</v>
      </c>
      <c r="D3347" t="inlineStr">
        <is>
          <t>A CRITICA</t>
        </is>
      </c>
      <c r="E3347" t="inlineStr">
        <is>
          <t>VENEZUELANOS</t>
        </is>
      </c>
      <c r="F3347" t="inlineStr"/>
      <c r="G3347" t="inlineStr">
        <is>
          <t>THAIS LEITÃO/ AGÊNCIA BRASIL</t>
        </is>
      </c>
      <c r="H3347" t="inlineStr">
        <is>
          <t>DISPUTA POLÍTICA AUMENTA NA VENEZUELA COM AFASTAMENTO DE CHÁVEZ; AVALIA PROFESSOR</t>
        </is>
      </c>
      <c r="I3347" t="inlineStr">
        <is>
          <t>A POSSE DE  HUGO CHÁVEZ, QUE FOI REELEITO EM OUTUBRO, ESTÁ MARCADA PARA A PRÓXIMA SEMANA, NO DIA 10. CASO ELE NÃO POSSA ASSUMIR, A CONSTITUIÇÃO PREVÊ QUE HAJA NOVA ELEIÇÃO PARA A PRESIDÊNCIA DA REPÚBLICA EM UM PRAZO DE ATÉ 30 DIAS.</t>
        </is>
      </c>
      <c r="J3347">
        <f>HYPERLINK("https://www.acritica.com/disputa-politica-aumenta-na-venezuela-com-afastamento-de-chavez-avalia-professor-1.142368", "URL")</f>
        <v/>
      </c>
      <c r="K3347">
        <f>HYPERLINK("https://raw.githubusercontent.com/marcosmapl/dataset_imigrantes/main/noticias_filtered/a_critica/venezuelanos/2013/00_jan/html/1.142368_481.html", "HTML")</f>
        <v/>
      </c>
      <c r="L3347">
        <f>HYPERLINK("https://raw.githubusercontent.com/marcosmapl/dataset_imigrantes/main/noticias_filtered/a_critica/venezuelanos/2013/00_jan/txt/1.142368_481.txt", "TXT")</f>
        <v/>
      </c>
    </row>
    <row r="3348">
      <c r="A3348" s="1" t="n">
        <v>3346</v>
      </c>
      <c r="B3348" t="n">
        <v>2013</v>
      </c>
      <c r="C3348" s="2" t="n">
        <v>41277.50584490741</v>
      </c>
      <c r="D3348" t="inlineStr">
        <is>
          <t>A CRITICA</t>
        </is>
      </c>
      <c r="E3348" t="inlineStr">
        <is>
          <t>VENEZUELANOS</t>
        </is>
      </c>
      <c r="F3348" t="inlineStr"/>
      <c r="G3348" t="inlineStr">
        <is>
          <t>RENATA GIRALDI*/AGÊNCIA BRASIL</t>
        </is>
      </c>
      <c r="H3348" t="inlineStr">
        <is>
          <t>AUTORIDADES DA VENEZUELA RECONHECEM QUE ESTADO DE SAÚDE DE CHÁVEZ É DELICADO</t>
        </is>
      </c>
      <c r="I3348" t="inlineStr">
        <is>
          <t>DESDE O DIA 11, O PRESIDENTE VENEZUELANO ESTÁ HOSPITALIZADO EM HAVANA, CUBA, PARA TRATAMENTO DE COMBATE AO CÂNCER. ELE FOI SUBMETIDO A UMA CIRURGIA PARA A RETIRADA DE UM TUMOR MALIGNO NA REGIÃO PÉLVICA E APRESENTOU COMPLICAÇÕES, COMO HEMORRAGIA E INFECÇÃO RESPIRATÓRIA. NOS ÚLTIMOS DIAS, AUMENTARAM AS INFORMAÇÕES, NÃO OFICIAIS, QUE SEU ESTADO DE SAÚDE PIOROU</t>
        </is>
      </c>
      <c r="J3348">
        <f>HYPERLINK("https://www.acritica.com/autoridades-da-venezuela-reconhecem-que-estado-de-saude-de-chavez-e-delicado-1.144277", "URL")</f>
        <v/>
      </c>
      <c r="K3348">
        <f>HYPERLINK("https://raw.githubusercontent.com/marcosmapl/dataset_imigrantes/main/noticias_filtered/a_critica/venezuelanos/2013/00_jan/html/1.144277_965.html", "HTML")</f>
        <v/>
      </c>
      <c r="L3348">
        <f>HYPERLINK("https://raw.githubusercontent.com/marcosmapl/dataset_imigrantes/main/noticias_filtered/a_critica/venezuelanos/2013/00_jan/txt/1.144277_965.txt", "TXT")</f>
        <v/>
      </c>
    </row>
    <row r="3349">
      <c r="A3349" s="1" t="n">
        <v>3347</v>
      </c>
      <c r="B3349" t="n">
        <v>2013</v>
      </c>
      <c r="C3349" s="2" t="n">
        <v>41276.99795138889</v>
      </c>
      <c r="D3349" t="inlineStr">
        <is>
          <t>A CRITICA</t>
        </is>
      </c>
      <c r="E3349" t="inlineStr">
        <is>
          <t>HAITIANOS</t>
        </is>
      </c>
      <c r="F3349" t="inlineStr">
        <is>
          <t>MANAUS</t>
        </is>
      </c>
      <c r="G3349" t="inlineStr">
        <is>
          <t>CAMILA PEREIRA</t>
        </is>
      </c>
      <c r="H3349" t="inlineStr">
        <is>
          <t>ARTUR PEDE AJUDA DE CAMELÔS E EMPRESÁRIOS PARA LIMPAR O CENTRO DE MANAUS</t>
        </is>
      </c>
      <c r="I3349" t="inlineStr">
        <is>
          <t>O PREFEITO DE MANAUS DISSE QUE ‘NÃO TEM CABIMENTO GASTAR DINHEIRO COM LIXO’. ELE REUNIU COM VENDEDORES AMBULANTES E EMPRESÁRIOS PARA PEDIR AJUDA PARA LIMPAR A CIDADE; TODAS AS NOITES, NA ÁREA DO CENTRO COMERCIAL E REDONDEZAS SÃO RECOLHIDAS APROXIMADAMENTE 280 TONELADAS DE LIXO</t>
        </is>
      </c>
      <c r="J3349">
        <f>HYPERLINK("https://www.acritica.com/manaus/artur-pede-ajuda-de-camelos-e-empresarios-para-limpar-o-centro-de-manaus-1.144353", "URL")</f>
        <v/>
      </c>
      <c r="K3349">
        <f>HYPERLINK("https://raw.githubusercontent.com/marcosmapl/dataset_imigrantes/main/noticias_filtered/a_critica/haitianos/2013/00_jan/html/1.144353_1380.html", "HTML")</f>
        <v/>
      </c>
      <c r="L3349">
        <f>HYPERLINK("https://raw.githubusercontent.com/marcosmapl/dataset_imigrantes/main/noticias_filtered/a_critica/haitianos/2013/00_jan/txt/1.144353_1380.txt", "TXT")</f>
        <v/>
      </c>
    </row>
    <row r="3350">
      <c r="A3350" s="1" t="n">
        <v>3348</v>
      </c>
      <c r="B3350" t="n">
        <v>2013</v>
      </c>
      <c r="C3350" s="2" t="n">
        <v>41276.76666666667</v>
      </c>
      <c r="D3350" t="inlineStr">
        <is>
          <t>G1</t>
        </is>
      </c>
      <c r="E3350" t="inlineStr">
        <is>
          <t>VENEZUELANOS</t>
        </is>
      </c>
      <c r="F3350" t="inlineStr"/>
      <c r="G3350" t="inlineStr">
        <is>
          <t>ERS</t>
        </is>
      </c>
      <c r="H3350" t="inlineStr">
        <is>
          <t>OPOSIÇÃO VENEZUELANA EXIGE "TODA A VERDADE" SOBRE SAÚDE DE CHÁVEZ</t>
        </is>
      </c>
      <c r="I3350" t="inlineStr"/>
      <c r="J3350">
        <f>HYPERLINK("http://g1.globo.com/mundo/noticia/2013/01/oposicao-venezuelana-exige-toda-a-verdade-sobre-saude-de-chavez-1.html", "URL")</f>
        <v/>
      </c>
      <c r="K3350">
        <f>HYPERLINK("https://raw.githubusercontent.com/marcosmapl/dataset_imigrantes/main/noticias_filtered/g1/venezuelanos/2013/00_jan/html/g1_0014a286-231f-11ed-b24f-6dbe51e79fca_3594.html", "HTML")</f>
        <v/>
      </c>
      <c r="L3350">
        <f>HYPERLINK("https://raw.githubusercontent.com/marcosmapl/dataset_imigrantes/main/noticias_filtered/g1/venezuelanos/2013/00_jan/txt/g1_0014a286-231f-11ed-b24f-6dbe51e79fca_3594.txt", "TXT")</f>
        <v/>
      </c>
    </row>
    <row r="3351">
      <c r="A3351" s="1" t="n">
        <v>3349</v>
      </c>
      <c r="B3351" t="n">
        <v>2013</v>
      </c>
      <c r="C3351" s="2" t="n">
        <v>41276.76666666667</v>
      </c>
      <c r="D3351" t="inlineStr">
        <is>
          <t>G1</t>
        </is>
      </c>
      <c r="E3351" t="inlineStr">
        <is>
          <t>VENEZUELANOS</t>
        </is>
      </c>
      <c r="F3351" t="inlineStr"/>
      <c r="G3351" t="inlineStr">
        <is>
          <t>ERS</t>
        </is>
      </c>
      <c r="H3351" t="inlineStr">
        <is>
          <t>OPOSIÇÃO VENEZUELANA EXIGE "TODA A VERDADE" SOBRE SAÚDE DE CHÁVEZ</t>
        </is>
      </c>
      <c r="I3351" t="inlineStr"/>
      <c r="J3351">
        <f>HYPERLINK("http://g1.globo.com/mundo/noticia/2013/01/oposicao-venezuelana-exige-toda-a-verdade-sobre-saude-de-chavez.html", "URL")</f>
        <v/>
      </c>
      <c r="K3351">
        <f>HYPERLINK("https://raw.githubusercontent.com/marcosmapl/dataset_imigrantes/main/noticias_filtered/g1/venezuelanos/2013/00_jan/html/g1_35c3fc5e-232b-11ed-b24f-6dbe51e79fca_4230.html", "HTML")</f>
        <v/>
      </c>
      <c r="L3351">
        <f>HYPERLINK("https://raw.githubusercontent.com/marcosmapl/dataset_imigrantes/main/noticias_filtered/g1/venezuelanos/2013/00_jan/txt/g1_35c3fc5e-232b-11ed-b24f-6dbe51e79fca_4230.txt", "TXT")</f>
        <v/>
      </c>
    </row>
    <row r="3352">
      <c r="A3352" s="1" t="n">
        <v>3350</v>
      </c>
      <c r="B3352" t="n">
        <v>2013</v>
      </c>
      <c r="C3352" s="2" t="n">
        <v>41276.66666666666</v>
      </c>
      <c r="D3352" t="inlineStr">
        <is>
          <t>G1</t>
        </is>
      </c>
      <c r="E3352" t="inlineStr">
        <is>
          <t>VENEZUELANOS</t>
        </is>
      </c>
      <c r="F3352" t="inlineStr"/>
      <c r="G3352" t="inlineStr">
        <is>
          <t>RANCE PRESSE</t>
        </is>
      </c>
      <c r="H3352" t="inlineStr">
        <is>
          <t>OPOSIÇÃO VENEZUELANA EXIGE 'A VERDADE' SOBRE SAÚDE DE CHÁVEZ</t>
        </is>
      </c>
      <c r="I3352" t="inlineStr"/>
      <c r="J3352">
        <f>HYPERLINK("http://g1.globo.com/mundo/noticia/2013/01/oposicao-venezuelana-exige-verdade-sobre-saude-de-chavez.html", "URL")</f>
        <v/>
      </c>
      <c r="K3352">
        <f>HYPERLINK("https://raw.githubusercontent.com/marcosmapl/dataset_imigrantes/main/noticias_filtered/g1/venezuelanos/2013/00_jan/html/g1_39e7b5ae-2327-11ed-b24f-6dbe51e79fca_4023.html", "HTML")</f>
        <v/>
      </c>
      <c r="L3352">
        <f>HYPERLINK("https://raw.githubusercontent.com/marcosmapl/dataset_imigrantes/main/noticias_filtered/g1/venezuelanos/2013/00_jan/txt/g1_39e7b5ae-2327-11ed-b24f-6dbe51e79fca_4023.txt", "TXT")</f>
        <v/>
      </c>
    </row>
    <row r="3353">
      <c r="A3353" s="1" t="n">
        <v>3351</v>
      </c>
      <c r="B3353" t="n">
        <v>2013</v>
      </c>
      <c r="C3353" s="2" t="n">
        <v>41276.42508101852</v>
      </c>
      <c r="D3353" t="inlineStr">
        <is>
          <t>A CRITICA</t>
        </is>
      </c>
      <c r="E3353" t="inlineStr">
        <is>
          <t>HAITIANOS</t>
        </is>
      </c>
      <c r="F3353" t="inlineStr">
        <is>
          <t>ENTRETENIMENTO</t>
        </is>
      </c>
      <c r="G3353" t="inlineStr">
        <is>
          <t>RAFAEL SEIXAS</t>
        </is>
      </c>
      <c r="H3353" t="inlineStr">
        <is>
          <t>M1 EVENTOS DIVULGA ALGUMAS FESTAS CONFIRMADAS EM 2013</t>
        </is>
      </c>
      <c r="I3353" t="inlineStr">
        <is>
          <t>PRODUTORA ESTÁ PREPARANDO GRANDES EVENTOS PARA ESTE ANO, COMEÇANDO PELO SHOW DE DESPEDIDA DE RUBINHO DO GRUPO OZ BAMBAZ</t>
        </is>
      </c>
      <c r="J3353">
        <f>HYPERLINK("https://www.acritica.com/entretenimento/m1-eventos-divulga-algumas-festas-confirmadas-em-2013-1.144501", "URL")</f>
        <v/>
      </c>
      <c r="K3353">
        <f>HYPERLINK("https://raw.githubusercontent.com/marcosmapl/dataset_imigrantes/main/noticias_filtered/a_critica/haitianos/2013/00_jan/html/1.144501_832.html", "HTML")</f>
        <v/>
      </c>
      <c r="L3353">
        <f>HYPERLINK("https://raw.githubusercontent.com/marcosmapl/dataset_imigrantes/main/noticias_filtered/a_critica/haitianos/2013/00_jan/txt/1.144501_832.txt", "TXT")</f>
        <v/>
      </c>
    </row>
    <row r="3354">
      <c r="A3354" s="1" t="n">
        <v>3352</v>
      </c>
      <c r="B3354" t="n">
        <v>2013</v>
      </c>
      <c r="C3354" s="2" t="n">
        <v>41275.79482638889</v>
      </c>
      <c r="D3354" t="inlineStr">
        <is>
          <t>A CRITICA</t>
        </is>
      </c>
      <c r="E3354" t="inlineStr">
        <is>
          <t>VENEZUELANOS</t>
        </is>
      </c>
      <c r="F3354" t="inlineStr"/>
      <c r="G3354" t="inlineStr">
        <is>
          <t>DA TELAM</t>
        </is>
      </c>
      <c r="H3354" t="inlineStr">
        <is>
          <t>MINISTRO VENEZUELANO E GENRO DE CHAVEZ DIZ QUE PRESIDENTE ESTÁ ESTÁVEL E TRANQUILO</t>
        </is>
      </c>
      <c r="I3354" t="inlineStr">
        <is>
          <t>O GENRO DO PRESIDENTE, JORGE ARREAZA, PASSOU A INFORMAÇÃO PELO TWITTER E O MINISTRO DA COMUNICAÇÃO E INFORMAÇÃO DA VENEZUELA DISSE QUE CHAVEZ ASSISTIU PELA TV CULTO ECUMÊNICO SUA INTENÇÃO</t>
        </is>
      </c>
      <c r="J3354">
        <f>HYPERLINK("https://www.acritica.com/ministro-venezuelano-e-genro-de-chavez-diz-que-presidente-esta-estavel-e-tranquilo-1.144578", "URL")</f>
        <v/>
      </c>
      <c r="K3354">
        <f>HYPERLINK("https://raw.githubusercontent.com/marcosmapl/dataset_imigrantes/main/noticias_filtered/a_critica/venezuelanos/2013/00_jan/html/1.144578_1133.html", "HTML")</f>
        <v/>
      </c>
      <c r="L3354">
        <f>HYPERLINK("https://raw.githubusercontent.com/marcosmapl/dataset_imigrantes/main/noticias_filtered/a_critica/venezuelanos/2013/00_jan/txt/1.144578_1133.txt", "TXT")</f>
        <v/>
      </c>
    </row>
    <row r="3355">
      <c r="A3355" s="1" t="n">
        <v>3353</v>
      </c>
      <c r="B3355" t="n">
        <v>2012</v>
      </c>
      <c r="C3355" s="2" t="n">
        <v>41264.57708333333</v>
      </c>
      <c r="D3355" t="inlineStr">
        <is>
          <t>G1</t>
        </is>
      </c>
      <c r="E3355" t="inlineStr">
        <is>
          <t>HAITIANOS</t>
        </is>
      </c>
      <c r="F3355" t="inlineStr"/>
      <c r="G3355" t="inlineStr">
        <is>
          <t>FP</t>
        </is>
      </c>
      <c r="H3355" t="inlineStr">
        <is>
          <t>TRÊS ANOS APÓS TERREMOTO, 360 MIL HAITIANOS AINDA VIVEM EM BARRACAS</t>
        </is>
      </c>
      <c r="I3355" t="inlineStr"/>
      <c r="J3355">
        <f>HYPERLINK("http://g1.globo.com/mundo/noticia/2012/12/tres-anos-apos-terremoto-360-mil-haitianos-ainda-vivem-em-barracas.html", "URL")</f>
        <v/>
      </c>
      <c r="K3355">
        <f>HYPERLINK("https://raw.githubusercontent.com/marcosmapl/dataset_imigrantes/main/noticias_filtered/g1/haitianos/2012/11_dez/html/g1_f83ca3ba-22f6-11ed-b24f-6dbe51e79fca_2051.html", "HTML")</f>
        <v/>
      </c>
      <c r="L3355">
        <f>HYPERLINK("https://raw.githubusercontent.com/marcosmapl/dataset_imigrantes/main/noticias_filtered/g1/haitianos/2012/11_dez/txt/g1_f83ca3ba-22f6-11ed-b24f-6dbe51e79fca_2051.txt", "TXT")</f>
        <v/>
      </c>
    </row>
    <row r="3356">
      <c r="A3356" s="1" t="n">
        <v>3354</v>
      </c>
      <c r="B3356" t="n">
        <v>2012</v>
      </c>
      <c r="C3356" s="2" t="n">
        <v>41263.51388888889</v>
      </c>
      <c r="D3356" t="inlineStr">
        <is>
          <t>G1</t>
        </is>
      </c>
      <c r="E3356" t="inlineStr">
        <is>
          <t>HAITIANOS</t>
        </is>
      </c>
      <c r="F3356" t="inlineStr"/>
      <c r="G3356" t="inlineStr">
        <is>
          <t>1, EM SÃO PAULO</t>
        </is>
      </c>
      <c r="H3356" t="inlineStr">
        <is>
          <t>MINISTÉRIO DO TRABALHO LANÇA GUIA DE TRABALHO PARA HAITIANOS</t>
        </is>
      </c>
      <c r="I3356" t="inlineStr"/>
      <c r="J3356">
        <f>HYPERLINK("http://g1.globo.com/concursos-e-emprego/noticia/2012/12/ministerio-do-trabalho-lanca-guia-de-trabalho-para-haitianos.html", "URL")</f>
        <v/>
      </c>
      <c r="K3356">
        <f>HYPERLINK("https://raw.githubusercontent.com/marcosmapl/dataset_imigrantes/main/noticias_filtered/g1/haitianos/2012/11_dez/html/g1_769b0cf8-22f5-11ed-b24f-6dbe51e79fca_1951.html", "HTML")</f>
        <v/>
      </c>
      <c r="L3356">
        <f>HYPERLINK("https://raw.githubusercontent.com/marcosmapl/dataset_imigrantes/main/noticias_filtered/g1/haitianos/2012/11_dez/txt/g1_769b0cf8-22f5-11ed-b24f-6dbe51e79fca_1951.txt", "TXT")</f>
        <v/>
      </c>
    </row>
    <row r="3357">
      <c r="A3357" s="1" t="n">
        <v>3355</v>
      </c>
      <c r="B3357" t="n">
        <v>2012</v>
      </c>
      <c r="C3357" s="2" t="n">
        <v>41257.96736111111</v>
      </c>
      <c r="D3357" t="inlineStr">
        <is>
          <t>G1</t>
        </is>
      </c>
      <c r="E3357" t="inlineStr">
        <is>
          <t>HAITIANOS</t>
        </is>
      </c>
      <c r="F3357" t="inlineStr"/>
      <c r="G3357" t="inlineStr"/>
      <c r="H3357" t="inlineStr">
        <is>
          <t>VISTO PARA HAITIANOS PODE SER LIBERADO POR MEDO DE ATRAVESSADORES</t>
        </is>
      </c>
      <c r="I3357" t="inlineStr"/>
      <c r="J3357">
        <f>HYPERLINK("http://g1.globo.com/globo-news/noticia/2012/12/visto-para-haitianos-pode-ser-liberado-por-medo-de-atravessadores.html", "URL")</f>
        <v/>
      </c>
      <c r="K3357">
        <f>HYPERLINK("https://raw.githubusercontent.com/marcosmapl/dataset_imigrantes/main/noticias_filtered/g1/haitianos/2012/11_dez/html/g1_5195ca6e-22f1-11ed-b24f-6dbe51e79fca_1743.html", "HTML")</f>
        <v/>
      </c>
      <c r="L3357">
        <f>HYPERLINK("https://raw.githubusercontent.com/marcosmapl/dataset_imigrantes/main/noticias_filtered/g1/haitianos/2012/11_dez/txt/g1_5195ca6e-22f1-11ed-b24f-6dbe51e79fca_1743.txt", "TXT")</f>
        <v/>
      </c>
    </row>
    <row r="3358">
      <c r="A3358" s="1" t="n">
        <v>3356</v>
      </c>
      <c r="B3358" t="n">
        <v>2012</v>
      </c>
      <c r="C3358" s="2" t="n">
        <v>41257.43376157407</v>
      </c>
      <c r="D3358" t="inlineStr">
        <is>
          <t>A CRITICA</t>
        </is>
      </c>
      <c r="E3358" t="inlineStr">
        <is>
          <t>VENEZUELANOS</t>
        </is>
      </c>
      <c r="F3358" t="inlineStr"/>
      <c r="G3358" t="inlineStr">
        <is>
          <t>RENATA GIRALDI*/AGÊNCIA BRASIL</t>
        </is>
      </c>
      <c r="H3358" t="inlineStr">
        <is>
          <t>SAÚDE DE CHÁVEZ EVOLUI DE ESTÁVEL PARA FAVORÁVEL, DIZ VICE-PRESIDENTE</t>
        </is>
      </c>
      <c r="I3358" t="inlineStr">
        <is>
          <t>APONTADO COMO SUCESSOR DE CHÁVEZ PELO PRÓPRIO PRESIDENTE, O VICE AGRADECEU AS ORAÇÕES E O APOIO QUE TEM SIDO DADO EM FAVOR DA RECUPERAÇÃO DO VENEZUELANO</t>
        </is>
      </c>
      <c r="J3358">
        <f>HYPERLINK("https://www.acritica.com/saude-de-chavez-evolui-de-estavel-para-favoravel-diz-vice-presidente-1.236894", "URL")</f>
        <v/>
      </c>
      <c r="K3358">
        <f>HYPERLINK("https://raw.githubusercontent.com/marcosmapl/dataset_imigrantes/main/noticias_filtered/a_critica/venezuelanos/2012/11_dez/html/1.236894_574.html", "HTML")</f>
        <v/>
      </c>
      <c r="L3358">
        <f>HYPERLINK("https://raw.githubusercontent.com/marcosmapl/dataset_imigrantes/main/noticias_filtered/a_critica/venezuelanos/2012/11_dez/txt/1.236894_574.txt", "TXT")</f>
        <v/>
      </c>
    </row>
    <row r="3359">
      <c r="A3359" s="1" t="n">
        <v>3357</v>
      </c>
      <c r="B3359" t="n">
        <v>2012</v>
      </c>
      <c r="C3359" s="2" t="n">
        <v>41255.84305555555</v>
      </c>
      <c r="D3359" t="inlineStr">
        <is>
          <t>G1</t>
        </is>
      </c>
      <c r="E3359" t="inlineStr">
        <is>
          <t>HAITIANOS</t>
        </is>
      </c>
      <c r="F3359" t="inlineStr"/>
      <c r="G3359" t="inlineStr">
        <is>
          <t>1 RS</t>
        </is>
      </c>
      <c r="H3359" t="inlineStr">
        <is>
          <t>HAITIANOS DEMITIDOS EM IGREJINHA, RS, VÃO RECEBER ALOJAMENTO E ALIMENTAÇÃO</t>
        </is>
      </c>
      <c r="I3359" t="inlineStr"/>
      <c r="J3359">
        <f>HYPERLINK("http://g1.globo.com/rs/rio-grande-do-sul/noticia/2012/12/haitianos-demitidos-em-igrejinha-rs-vao-receber-alojamento-e-alimentacao.html", "URL")</f>
        <v/>
      </c>
      <c r="K3359">
        <f>HYPERLINK("https://raw.githubusercontent.com/marcosmapl/dataset_imigrantes/main/noticias_filtered/g1/haitianos/2012/11_dez/html/g1_e60ef080-22f6-11ed-b24f-6dbe51e79fca_2046.html", "HTML")</f>
        <v/>
      </c>
      <c r="L3359">
        <f>HYPERLINK("https://raw.githubusercontent.com/marcosmapl/dataset_imigrantes/main/noticias_filtered/g1/haitianos/2012/11_dez/txt/g1_e60ef080-22f6-11ed-b24f-6dbe51e79fca_2046.txt", "TXT")</f>
        <v/>
      </c>
    </row>
    <row r="3360">
      <c r="A3360" s="1" t="n">
        <v>3358</v>
      </c>
      <c r="B3360" t="n">
        <v>2012</v>
      </c>
      <c r="C3360" s="2" t="n">
        <v>41254.98055555556</v>
      </c>
      <c r="D3360" t="inlineStr">
        <is>
          <t>G1</t>
        </is>
      </c>
      <c r="E3360" t="inlineStr">
        <is>
          <t>HAITIANOS</t>
        </is>
      </c>
      <c r="F3360" t="inlineStr"/>
      <c r="G3360" t="inlineStr">
        <is>
          <t>1 RS</t>
        </is>
      </c>
      <c r="H3360" t="inlineStr">
        <is>
          <t>MP INVESTIGA CASO DOS HAITIANOS DEMITIDOS EM IGREJINHA, RS</t>
        </is>
      </c>
      <c r="I3360" t="inlineStr"/>
      <c r="J3360">
        <f>HYPERLINK("http://g1.globo.com/rs/rio-grande-do-sul/noticia/2012/12/mp-investiga-caso-dos-haitianos-demitidos-em-igrejinha-rs.html", "URL")</f>
        <v/>
      </c>
      <c r="K3360">
        <f>HYPERLINK("https://raw.githubusercontent.com/marcosmapl/dataset_imigrantes/main/noticias_filtered/g1/haitianos/2012/11_dez/html/g1_1e075490-22f3-11ed-b24f-6dbe51e79fca_1824.html", "HTML")</f>
        <v/>
      </c>
      <c r="L3360">
        <f>HYPERLINK("https://raw.githubusercontent.com/marcosmapl/dataset_imigrantes/main/noticias_filtered/g1/haitianos/2012/11_dez/txt/g1_1e075490-22f3-11ed-b24f-6dbe51e79fca_1824.txt", "TXT")</f>
        <v/>
      </c>
    </row>
    <row r="3361">
      <c r="A3361" s="1" t="n">
        <v>3359</v>
      </c>
      <c r="B3361" t="n">
        <v>2012</v>
      </c>
      <c r="C3361" s="2" t="n">
        <v>41253.94983796297</v>
      </c>
      <c r="D3361" t="inlineStr">
        <is>
          <t>A CRITICA</t>
        </is>
      </c>
      <c r="E3361" t="inlineStr">
        <is>
          <t>VENEZUELANOS</t>
        </is>
      </c>
      <c r="F3361" t="inlineStr"/>
      <c r="G3361" t="inlineStr">
        <is>
          <t>RENATA GIRALDI*AGÊNCIA BRASIL</t>
        </is>
      </c>
      <c r="H3361" t="inlineStr">
        <is>
          <t>CHAVEZ CHEGA A CUBA PARA SER OPERADO E FAZER TRATAMENTO CONTRA CÂNCER</t>
        </is>
      </c>
      <c r="I3361" t="inlineStr">
        <is>
          <t>CHÁVEZ FARÁ TRATAMENTO CONTRA CÂNCER E CIRURGIA PARA A RETIRADA DE UM TUMOR NA REGIÃO PÉLVICA. ANTEONTEM ELE ANUNCIOU A CIRURGIA NO MESMO LOCAL DO CORPO E INDICOU QUE PODE SER OBRIGADO A ABANDONAR  A PRESIDÊNCIA DA REPÚBLICA</t>
        </is>
      </c>
      <c r="J3361">
        <f>HYPERLINK("https://www.acritica.com/chavez-chega-a-cuba-para-ser-operado-e-fazer-tratamento-contra-cancer-1.236804", "URL")</f>
        <v/>
      </c>
      <c r="K3361">
        <f>HYPERLINK("https://raw.githubusercontent.com/marcosmapl/dataset_imigrantes/main/noticias_filtered/a_critica/venezuelanos/2012/11_dez/html/1.236804_483.html", "HTML")</f>
        <v/>
      </c>
      <c r="L3361">
        <f>HYPERLINK("https://raw.githubusercontent.com/marcosmapl/dataset_imigrantes/main/noticias_filtered/a_critica/venezuelanos/2012/11_dez/txt/1.236804_483.txt", "TXT")</f>
        <v/>
      </c>
    </row>
    <row r="3362">
      <c r="A3362" s="1" t="n">
        <v>3360</v>
      </c>
      <c r="B3362" t="n">
        <v>2012</v>
      </c>
      <c r="C3362" s="2" t="n">
        <v>41240.43489583334</v>
      </c>
      <c r="D3362" t="inlineStr">
        <is>
          <t>A CRITICA</t>
        </is>
      </c>
      <c r="E3362" t="inlineStr">
        <is>
          <t>HAITIANOS</t>
        </is>
      </c>
      <c r="F3362" t="inlineStr"/>
      <c r="G3362" t="inlineStr">
        <is>
          <t>RENATA GIRALDI*/AGÊNCIA BRASIL</t>
        </is>
      </c>
      <c r="H3362" t="inlineStr">
        <is>
          <t>UM EM CADA CINCO UNIVERSITÁRIOS DE PAÍSES POBRES TENTAM OPORTUNIDADE NO EXTERIOR, DIZ UNCTAD</t>
        </is>
      </c>
      <c r="I3362" t="inlineStr">
        <is>
          <t>PELO MENOS UM EM CADA CINCO UNIVERSITÁRIOS DE 48 PAÍSES MENOS DESENVOLVIDOS VAI PARA O EXTERIOR EM BUSCA DE OPORTUNIDADES, SEGUNDO RELATÓRIO DIVULGADO PELA  CONFERÊNCIA DAS NAÇÕES UNIDAS SOBRE COMÉRCIO E DESENVOLVIMENTO (UNCTAD), EM GENEBRA, NA SUÍÇA.</t>
        </is>
      </c>
      <c r="J3362">
        <f>HYPERLINK("https://www.acritica.com/um-em-cada-cinco-universitarios-de-paises-pobres-tentam-oportunidade-no-exterior-diz-unctad-1.236046", "URL")</f>
        <v/>
      </c>
      <c r="K3362">
        <f>HYPERLINK("https://raw.githubusercontent.com/marcosmapl/dataset_imigrantes/main/noticias_filtered/a_critica/haitianos/2012/10_nov/html/1.236046_57.html", "HTML")</f>
        <v/>
      </c>
      <c r="L3362">
        <f>HYPERLINK("https://raw.githubusercontent.com/marcosmapl/dataset_imigrantes/main/noticias_filtered/a_critica/haitianos/2012/10_nov/txt/1.236046_57.txt", "TXT")</f>
        <v/>
      </c>
    </row>
    <row r="3363">
      <c r="A3363" s="1" t="n">
        <v>3361</v>
      </c>
      <c r="B3363" t="n">
        <v>2012</v>
      </c>
      <c r="C3363" s="2" t="n">
        <v>41239.44930555556</v>
      </c>
      <c r="D3363" t="inlineStr">
        <is>
          <t>G1</t>
        </is>
      </c>
      <c r="E3363" t="inlineStr">
        <is>
          <t>HAITIANOS</t>
        </is>
      </c>
      <c r="F3363" t="inlineStr"/>
      <c r="G3363" t="inlineStr">
        <is>
          <t>1 AM</t>
        </is>
      </c>
      <c r="H3363" t="inlineStr">
        <is>
          <t>MINISTÉRIO AUMENTA REPASSE PARA ATENDIMENTO DE HAITIANOS NO AM</t>
        </is>
      </c>
      <c r="I3363" t="inlineStr"/>
      <c r="J3363">
        <f>HYPERLINK("http://g1.globo.com/am/amazonas/noticia/2012/11/ministerio-aumenta-repasse-para-atendimento-de-haitianos-no-am.html", "URL")</f>
        <v/>
      </c>
      <c r="K3363">
        <f>HYPERLINK("https://raw.githubusercontent.com/marcosmapl/dataset_imigrantes/main/noticias_filtered/g1/haitianos/2012/10_nov/html/g1_df4aaa52-22f4-11ed-b24f-6dbe51e79fca_1916.html", "HTML")</f>
        <v/>
      </c>
      <c r="L3363">
        <f>HYPERLINK("https://raw.githubusercontent.com/marcosmapl/dataset_imigrantes/main/noticias_filtered/g1/haitianos/2012/10_nov/txt/g1_df4aaa52-22f4-11ed-b24f-6dbe51e79fca_1916.txt", "TXT")</f>
        <v/>
      </c>
    </row>
    <row r="3364">
      <c r="A3364" s="1" t="n">
        <v>3362</v>
      </c>
      <c r="B3364" t="n">
        <v>2012</v>
      </c>
      <c r="C3364" s="2" t="n">
        <v>41236.34166666667</v>
      </c>
      <c r="D3364" t="inlineStr">
        <is>
          <t>G1</t>
        </is>
      </c>
      <c r="E3364" t="inlineStr">
        <is>
          <t>VENEZUELANOS</t>
        </is>
      </c>
      <c r="F3364" t="inlineStr"/>
      <c r="G3364" t="inlineStr">
        <is>
          <t>RANCE PRESSE</t>
        </is>
      </c>
      <c r="H3364" t="inlineStr">
        <is>
          <t>JUÍZA VENEZUELANA AFIRMA EM LIVRO QUE FOI ESTUPRADA NA PRISÃO</t>
        </is>
      </c>
      <c r="I3364" t="inlineStr"/>
      <c r="J3364">
        <f>HYPERLINK("http://g1.globo.com/mundo/noticia/2012/11/juiza-venezuelana-afirma-em-livro-que-foi-estuprada-na-prisao.html", "URL")</f>
        <v/>
      </c>
      <c r="K3364">
        <f>HYPERLINK("https://raw.githubusercontent.com/marcosmapl/dataset_imigrantes/main/noticias_filtered/g1/venezuelanos/2012/10_nov/html/g1_32ab2cfe-231c-11ed-b24f-6dbe51e79fca_3433.html", "HTML")</f>
        <v/>
      </c>
      <c r="L3364">
        <f>HYPERLINK("https://raw.githubusercontent.com/marcosmapl/dataset_imigrantes/main/noticias_filtered/g1/venezuelanos/2012/10_nov/txt/g1_32ab2cfe-231c-11ed-b24f-6dbe51e79fca_3433.txt", "TXT")</f>
        <v/>
      </c>
    </row>
    <row r="3365">
      <c r="A3365" s="1" t="n">
        <v>3363</v>
      </c>
      <c r="B3365" t="n">
        <v>2012</v>
      </c>
      <c r="C3365" s="2" t="n">
        <v>41231.91319444445</v>
      </c>
      <c r="D3365" t="inlineStr">
        <is>
          <t>G1</t>
        </is>
      </c>
      <c r="E3365" t="inlineStr">
        <is>
          <t>HAITIANOS</t>
        </is>
      </c>
      <c r="F3365" t="inlineStr"/>
      <c r="G3365" t="inlineStr">
        <is>
          <t>1, COM INFORMAÇÕES DO FANTÁSTICO</t>
        </is>
      </c>
      <c r="H3365" t="inlineStr">
        <is>
          <t>MENINO HAITIANO ABANDONADO NO METRÔ REENCONTRA A MÃE APÓS 3 ANOS</t>
        </is>
      </c>
      <c r="I3365" t="inlineStr"/>
      <c r="J3365">
        <f>HYPERLINK("http://g1.globo.com/sao-paulo/noticia/2012/11/menino-haitiano-abandonado-no-metro-reencontra-mae-apos-3-anos.html", "URL")</f>
        <v/>
      </c>
      <c r="K3365">
        <f>HYPERLINK("https://raw.githubusercontent.com/marcosmapl/dataset_imigrantes/main/noticias_filtered/g1/haitianos/2012/10_nov/html/g1_3a304974-230c-11ed-b24f-6dbe51e79fca_2611.html", "HTML")</f>
        <v/>
      </c>
      <c r="L3365">
        <f>HYPERLINK("https://raw.githubusercontent.com/marcosmapl/dataset_imigrantes/main/noticias_filtered/g1/haitianos/2012/10_nov/txt/g1_3a304974-230c-11ed-b24f-6dbe51e79fca_2611.txt", "TXT")</f>
        <v/>
      </c>
    </row>
    <row r="3366">
      <c r="A3366" s="1" t="n">
        <v>3364</v>
      </c>
      <c r="B3366" t="n">
        <v>2012</v>
      </c>
      <c r="C3366" s="2" t="n">
        <v>41231</v>
      </c>
      <c r="D3366" t="inlineStr">
        <is>
          <t>G1</t>
        </is>
      </c>
      <c r="E3366" t="inlineStr">
        <is>
          <t>HAITIANOS</t>
        </is>
      </c>
      <c r="F3366" t="inlineStr"/>
      <c r="G3366" t="inlineStr"/>
      <c r="H3366" t="inlineStr">
        <is>
          <t>APÓS NOVE ANOS, HAITIANO VÍTIMA DO TRÁFICO DE PESSOAS REENCONTRA A MÃE</t>
        </is>
      </c>
      <c r="I3366" t="inlineStr"/>
      <c r="J3366">
        <f>HYPERLINK("http://g1.globo.com/fantastico/noticia/2012/11/apos-nove-anos-haitiano-vitima-do-trafico-de-pessoas-reencontra-mae.html", "URL")</f>
        <v/>
      </c>
      <c r="K3366">
        <f>HYPERLINK("https://raw.githubusercontent.com/marcosmapl/dataset_imigrantes/main/noticias_filtered/g1/haitianos/2012/10_nov/html/g1_3d2e21d6-2326-11ed-b24f-6dbe51e79fca_3963.html", "HTML")</f>
        <v/>
      </c>
      <c r="L3366">
        <f>HYPERLINK("https://raw.githubusercontent.com/marcosmapl/dataset_imigrantes/main/noticias_filtered/g1/haitianos/2012/10_nov/txt/g1_3d2e21d6-2326-11ed-b24f-6dbe51e79fca_3963.txt", "TXT")</f>
        <v/>
      </c>
    </row>
    <row r="3367">
      <c r="A3367" s="1" t="n">
        <v>3365</v>
      </c>
      <c r="B3367" t="n">
        <v>2012</v>
      </c>
      <c r="C3367" s="2" t="n">
        <v>41215.8465625</v>
      </c>
      <c r="D3367" t="inlineStr">
        <is>
          <t>A CRITICA</t>
        </is>
      </c>
      <c r="E3367" t="inlineStr">
        <is>
          <t>VENEZUELANOS</t>
        </is>
      </c>
      <c r="F3367" t="inlineStr">
        <is>
          <t>AMAZONIA</t>
        </is>
      </c>
      <c r="G3367" t="inlineStr">
        <is>
          <t>ELAÍZE FARIAS</t>
        </is>
      </c>
      <c r="H3367" t="inlineStr">
        <is>
          <t>INVESTIGAÇÃO DE GOVERNO VENEZUELANO É QUESTIONADA POR REPRESENTANTE YANOMAMI DAQUELE PAÍS</t>
        </is>
      </c>
      <c r="I3367" t="inlineStr">
        <is>
          <t>LUIS SHATIWË, DA ORGANIZAÇÃO HORONAMI, DA VENEZUELA, PARTICIPOU DA ASSEMBLEIA DA HUTUKARA, NO BRASIL</t>
        </is>
      </c>
      <c r="J3367">
        <f>HYPERLINK("https://www.acritica.com/amazonia/investigac-o-de-governo-venezuelano-e-questionada-por-representante-yanomami-daquele-pais-1.236616", "URL")</f>
        <v/>
      </c>
      <c r="K3367">
        <f>HYPERLINK("https://raw.githubusercontent.com/marcosmapl/dataset_imigrantes/main/noticias_filtered/a_critica/venezuelanos/2012/10_nov/html/1.236616_1234.html", "HTML")</f>
        <v/>
      </c>
      <c r="L3367">
        <f>HYPERLINK("https://raw.githubusercontent.com/marcosmapl/dataset_imigrantes/main/noticias_filtered/a_critica/venezuelanos/2012/10_nov/txt/1.236616_1234.txt", "TXT")</f>
        <v/>
      </c>
    </row>
    <row r="3368">
      <c r="A3368" s="1" t="n">
        <v>3366</v>
      </c>
      <c r="B3368" t="n">
        <v>2012</v>
      </c>
      <c r="C3368" s="2" t="n">
        <v>41213.64753472222</v>
      </c>
      <c r="D3368" t="inlineStr">
        <is>
          <t>A CRITICA</t>
        </is>
      </c>
      <c r="E3368" t="inlineStr">
        <is>
          <t>VENEZUELANOS</t>
        </is>
      </c>
      <c r="F3368" t="inlineStr"/>
      <c r="G3368" t="inlineStr">
        <is>
          <t>ACRÍTICA.COM</t>
        </is>
      </c>
      <c r="H3368" t="inlineStr">
        <is>
          <t>EVENTO DISCUTE EM MANAUS A INTEGRAÇÃO ENTRE O NORTE DO BRASIL E O SUL DA VENEZUELA</t>
        </is>
      </c>
      <c r="I3368" t="inlineStr">
        <is>
          <t>SEMINÁRIO PROMOVIDO PELA SUFRAMA E O IPEA DEBATE A INTEGRAÇÃO ECONÔMICO PRODUTIVA ENTRE OS DOIS PAÍSES</t>
        </is>
      </c>
      <c r="J3368">
        <f>HYPERLINK("https://www.acritica.com/evento-discute-em-manaus-a-integrac-o-entre-o-norte-do-brasil-e-o-sul-da-venezuela-1.143869", "URL")</f>
        <v/>
      </c>
      <c r="K3368">
        <f>HYPERLINK("https://raw.githubusercontent.com/marcosmapl/dataset_imigrantes/main/noticias_filtered/a_critica/venezuelanos/2012/09_out/html/1.143869_1157.html", "HTML")</f>
        <v/>
      </c>
      <c r="L3368">
        <f>HYPERLINK("https://raw.githubusercontent.com/marcosmapl/dataset_imigrantes/main/noticias_filtered/a_critica/venezuelanos/2012/09_out/txt/1.143869_1157.txt", "TXT")</f>
        <v/>
      </c>
    </row>
    <row r="3369">
      <c r="A3369" s="1" t="n">
        <v>3367</v>
      </c>
      <c r="B3369" t="n">
        <v>2012</v>
      </c>
      <c r="C3369" s="2" t="n">
        <v>41213.32708333333</v>
      </c>
      <c r="D3369" t="inlineStr">
        <is>
          <t>G1</t>
        </is>
      </c>
      <c r="E3369" t="inlineStr">
        <is>
          <t>HAITIANOS</t>
        </is>
      </c>
      <c r="F3369" t="inlineStr"/>
      <c r="G3369" t="inlineStr">
        <is>
          <t>CIA EFE</t>
        </is>
      </c>
      <c r="H3369" t="inlineStr">
        <is>
          <t>SOBE PARA 54 O NÚMERO DE MORTES NO HAITI PELO FURACÃO 'SANDY'</t>
        </is>
      </c>
      <c r="I3369" t="inlineStr"/>
      <c r="J3369">
        <f>HYPERLINK("http://g1.globo.com/mundo/noticia/2012/10/sobe-para-54-o-numero-de-mortes-no-haiti-pelo-furacao-sandy.html", "URL")</f>
        <v/>
      </c>
      <c r="K3369">
        <f>HYPERLINK("https://raw.githubusercontent.com/marcosmapl/dataset_imigrantes/main/noticias_filtered/g1/haitianos/2012/09_out/html/g1_81032fb2-2328-11ed-b24f-6dbe51e79fca_4082.html", "HTML")</f>
        <v/>
      </c>
      <c r="L3369">
        <f>HYPERLINK("https://raw.githubusercontent.com/marcosmapl/dataset_imigrantes/main/noticias_filtered/g1/haitianos/2012/09_out/txt/g1_81032fb2-2328-11ed-b24f-6dbe51e79fca_4082.txt", "TXT")</f>
        <v/>
      </c>
    </row>
    <row r="3370">
      <c r="A3370" s="1" t="n">
        <v>3368</v>
      </c>
      <c r="B3370" t="n">
        <v>2012</v>
      </c>
      <c r="C3370" s="2" t="n">
        <v>41208.91361111111</v>
      </c>
      <c r="D3370" t="inlineStr">
        <is>
          <t>A CRITICA</t>
        </is>
      </c>
      <c r="E3370" t="inlineStr">
        <is>
          <t>HAITIANOS</t>
        </is>
      </c>
      <c r="F3370" t="inlineStr"/>
      <c r="G3370" t="inlineStr">
        <is>
          <t>AGÊNCIA BRASIL</t>
        </is>
      </c>
      <c r="H3370" t="inlineStr">
        <is>
          <t>FURACÃO SANDY DEIXA 21 MORTOS NO CARIBE</t>
        </is>
      </c>
      <c r="I3370" t="inlineStr">
        <is>
          <t>NO LESTE DE CUBA, SANDY MATOU ONZE PESSOAS NAS PROVÍNCIAS DE SANTIAGO DE CUBA E GUANTÁNAMO, ONDE VÁRIAS CASAS DESABARAM, SEGUNDO A DEFESA CIVIL</t>
        </is>
      </c>
      <c r="J3370">
        <f>HYPERLINK("https://www.acritica.com/furac-o-sandy-deixa-21-mortos-no-caribe-1.144421", "URL")</f>
        <v/>
      </c>
      <c r="K3370">
        <f>HYPERLINK("https://raw.githubusercontent.com/marcosmapl/dataset_imigrantes/main/noticias_filtered/a_critica/haitianos/2012/09_out/html/1.144421_512.html", "HTML")</f>
        <v/>
      </c>
      <c r="L3370">
        <f>HYPERLINK("https://raw.githubusercontent.com/marcosmapl/dataset_imigrantes/main/noticias_filtered/a_critica/haitianos/2012/09_out/txt/1.144421_512.txt", "TXT")</f>
        <v/>
      </c>
    </row>
    <row r="3371">
      <c r="A3371" s="1" t="n">
        <v>3369</v>
      </c>
      <c r="B3371" t="n">
        <v>2012</v>
      </c>
      <c r="C3371" s="2" t="n">
        <v>41208.76875</v>
      </c>
      <c r="D3371" t="inlineStr">
        <is>
          <t>G1</t>
        </is>
      </c>
      <c r="E3371" t="inlineStr">
        <is>
          <t>HAITIANOS</t>
        </is>
      </c>
      <c r="F3371" t="inlineStr"/>
      <c r="G3371" t="inlineStr">
        <is>
          <t>CE PRESSE</t>
        </is>
      </c>
      <c r="H3371" t="inlineStr">
        <is>
          <t>SOBE PARA 26 NÚMERO DE MORTOS NO HAITI POR PASSAGEM DO FURACÃO SANDY</t>
        </is>
      </c>
      <c r="I3371" t="inlineStr"/>
      <c r="J3371">
        <f>HYPERLINK("http://g1.globo.com/mundo/noticia/2012/10/sobe-para-26-numero-de-mortos-no-haiti-por-passagem-do-furacao-sandy.html", "URL")</f>
        <v/>
      </c>
      <c r="K3371">
        <f>HYPERLINK("https://raw.githubusercontent.com/marcosmapl/dataset_imigrantes/main/noticias_filtered/g1/haitianos/2012/09_out/html/g1_578902be-231f-11ed-b24f-6dbe51e79fca_3616.html", "HTML")</f>
        <v/>
      </c>
      <c r="L3371">
        <f>HYPERLINK("https://raw.githubusercontent.com/marcosmapl/dataset_imigrantes/main/noticias_filtered/g1/haitianos/2012/09_out/txt/g1_578902be-231f-11ed-b24f-6dbe51e79fca_3616.txt", "TXT")</f>
        <v/>
      </c>
    </row>
    <row r="3372">
      <c r="A3372" s="1" t="n">
        <v>3370</v>
      </c>
      <c r="B3372" t="n">
        <v>2012</v>
      </c>
      <c r="C3372" s="2" t="n">
        <v>41208.68934027778</v>
      </c>
      <c r="D3372" t="inlineStr">
        <is>
          <t>A CRITICA</t>
        </is>
      </c>
      <c r="E3372" t="inlineStr">
        <is>
          <t>HAITIANOS</t>
        </is>
      </c>
      <c r="F3372" t="inlineStr"/>
      <c r="G3372" t="inlineStr">
        <is>
          <t>MARCOS CHAGAS/ AGÊNCIA BRASIL</t>
        </is>
      </c>
      <c r="H3372" t="inlineStr">
        <is>
          <t>CHEGA AO CAOS A SITUAÇÃO DE AJUDA HUMANITÁRIA A HAITIANOS NO ACRE, DIZ SECRETARIO</t>
        </is>
      </c>
      <c r="I3372" t="inlineStr">
        <is>
          <t>SECRETÁRIO DE JUSTIÇA E DIREITOS HUMANOS DO ACRE DISSE QUE NÃO TEM COMO O GOVERNO ACREANO BANCAR MAIS ALIMENTAÇÃO E ABRIGO AOS HAITIANOS QUE ENTRAM EM BRASILEIRA POR COBIJA, NA BOLÍVIA</t>
        </is>
      </c>
      <c r="J3372">
        <f>HYPERLINK("https://www.acritica.com/chega-ao-caos-a-situac-o-de-ajuda-humanitaria-a-haitianos-no-acre-diz-secretario-1.144582", "URL")</f>
        <v/>
      </c>
      <c r="K3372">
        <f>HYPERLINK("https://raw.githubusercontent.com/marcosmapl/dataset_imigrantes/main/noticias_filtered/a_critica/haitianos/2012/09_out/html/1.144582_358.html", "HTML")</f>
        <v/>
      </c>
      <c r="L3372">
        <f>HYPERLINK("https://raw.githubusercontent.com/marcosmapl/dataset_imigrantes/main/noticias_filtered/a_critica/haitianos/2012/09_out/txt/1.144582_358.txt", "TXT")</f>
        <v/>
      </c>
    </row>
    <row r="3373">
      <c r="A3373" s="1" t="n">
        <v>3371</v>
      </c>
      <c r="B3373" t="n">
        <v>2012</v>
      </c>
      <c r="C3373" s="2" t="n">
        <v>41206.47083333333</v>
      </c>
      <c r="D3373" t="inlineStr">
        <is>
          <t>G1</t>
        </is>
      </c>
      <c r="E3373" t="inlineStr">
        <is>
          <t>HAITIANOS</t>
        </is>
      </c>
      <c r="F3373" t="inlineStr"/>
      <c r="G3373" t="inlineStr">
        <is>
          <t>CE PRESSE</t>
        </is>
      </c>
      <c r="H3373" t="inlineStr">
        <is>
          <t>FIDEL ACHA JUSTO QUE ONU PAGUE INDENIZAÇÃO A HAITIANOS POR EPIDEMIA DE CÓLERA</t>
        </is>
      </c>
      <c r="I3373" t="inlineStr"/>
      <c r="J3373">
        <f>HYPERLINK("http://g1.globo.com/mundo/noticia/2012/10/fidel-acha-justo-que-onu-pague-indenizacao-a-haitianos-por-epidemia-de-colera.html", "URL")</f>
        <v/>
      </c>
      <c r="K3373">
        <f>HYPERLINK("https://raw.githubusercontent.com/marcosmapl/dataset_imigrantes/main/noticias_filtered/g1/haitianos/2012/09_out/html/g1_4d4fad70-22f7-11ed-b24f-6dbe51e79fca_2070.html", "HTML")</f>
        <v/>
      </c>
      <c r="L3373">
        <f>HYPERLINK("https://raw.githubusercontent.com/marcosmapl/dataset_imigrantes/main/noticias_filtered/g1/haitianos/2012/09_out/txt/g1_4d4fad70-22f7-11ed-b24f-6dbe51e79fca_2070.txt", "TXT")</f>
        <v/>
      </c>
    </row>
    <row r="3374">
      <c r="A3374" s="1" t="n">
        <v>3372</v>
      </c>
      <c r="B3374" t="n">
        <v>2012</v>
      </c>
      <c r="C3374" s="2" t="n">
        <v>41205.42134259259</v>
      </c>
      <c r="D3374" t="inlineStr">
        <is>
          <t>A CRITICA</t>
        </is>
      </c>
      <c r="E3374" t="inlineStr">
        <is>
          <t>HAITIANOS</t>
        </is>
      </c>
      <c r="F3374" t="inlineStr"/>
      <c r="G3374" t="inlineStr">
        <is>
          <t>MILTON DE OLIVEIRA</t>
        </is>
      </c>
      <c r="H3374" t="inlineStr">
        <is>
          <t>PROBLEMAS DE SAÚDE AFASTAM 15% DO EFETIVO DA POLÍCIA CIVIL DO AM</t>
        </is>
      </c>
      <c r="I3374" t="inlineStr">
        <is>
          <t>PARA REVERTER O QUADRO, FOI LANÇADA, NESTA SEGUNDA-FEIRA (22), A 7ª SEMANA DA SAÚDE, VOLTADA A SERVIDORES, FAMILIARES E HAITIANOS RESIDENTES EM MANAUS</t>
        </is>
      </c>
      <c r="J3374">
        <f>HYPERLINK("https://www.acritica.com/problemas-de-saude-afastam-15-do-efetivo-da-policia-civil-do-am-1.145290", "URL")</f>
        <v/>
      </c>
      <c r="K3374">
        <f>HYPERLINK("https://raw.githubusercontent.com/marcosmapl/dataset_imigrantes/main/noticias_filtered/a_critica/haitianos/2012/09_out/html/1.145290_355.html", "HTML")</f>
        <v/>
      </c>
      <c r="L3374">
        <f>HYPERLINK("https://raw.githubusercontent.com/marcosmapl/dataset_imigrantes/main/noticias_filtered/a_critica/haitianos/2012/09_out/txt/1.145290_355.txt", "TXT")</f>
        <v/>
      </c>
    </row>
    <row r="3375">
      <c r="A3375" s="1" t="n">
        <v>3373</v>
      </c>
      <c r="B3375" t="n">
        <v>2012</v>
      </c>
      <c r="C3375" s="2" t="n">
        <v>41204.80833333333</v>
      </c>
      <c r="D3375" t="inlineStr">
        <is>
          <t>G1</t>
        </is>
      </c>
      <c r="E3375" t="inlineStr">
        <is>
          <t>HAITIANOS</t>
        </is>
      </c>
      <c r="F3375" t="inlineStr"/>
      <c r="G3375" t="inlineStr">
        <is>
          <t>CE PRESSE</t>
        </is>
      </c>
      <c r="H3375" t="inlineStr">
        <is>
          <t>HILLARY CLINTON SAÚDA RECONSTRUÇÃO DO HAITI E 'SONHO HAITIANO'</t>
        </is>
      </c>
      <c r="I3375" t="inlineStr"/>
      <c r="J3375">
        <f>HYPERLINK("http://g1.globo.com/mundo/noticia/2012/10/hillary-clinton-sauda-reconstrucao-do-haiti-e-sonho-haitiano.html", "URL")</f>
        <v/>
      </c>
      <c r="K3375">
        <f>HYPERLINK("https://raw.githubusercontent.com/marcosmapl/dataset_imigrantes/main/noticias_filtered/g1/haitianos/2012/09_out/html/g1_2b539ab8-2312-11ed-b24f-6dbe51e79fca_2953.html", "HTML")</f>
        <v/>
      </c>
      <c r="L3375">
        <f>HYPERLINK("https://raw.githubusercontent.com/marcosmapl/dataset_imigrantes/main/noticias_filtered/g1/haitianos/2012/09_out/txt/g1_2b539ab8-2312-11ed-b24f-6dbe51e79fca_2953.txt", "TXT")</f>
        <v/>
      </c>
    </row>
    <row r="3376">
      <c r="A3376" s="1" t="n">
        <v>3374</v>
      </c>
      <c r="B3376" t="n">
        <v>2012</v>
      </c>
      <c r="C3376" s="2" t="n">
        <v>41204.80520833333</v>
      </c>
      <c r="D3376" t="inlineStr">
        <is>
          <t>A CRITICA</t>
        </is>
      </c>
      <c r="E3376" t="inlineStr">
        <is>
          <t>VENEZUELANOS</t>
        </is>
      </c>
      <c r="F3376" t="inlineStr"/>
      <c r="G3376" t="inlineStr">
        <is>
          <t>DA BBC BRASIL/ AGÊNCIA BRASIL</t>
        </is>
      </c>
      <c r="H3376" t="inlineStr">
        <is>
          <t>EMPATADOS NAS PESQUISAS, OBAMA E ROMNEY SE ENFRENTAM NO ÚLTIMO DEBATE</t>
        </is>
      </c>
      <c r="I3376" t="inlineStr">
        <is>
          <t>A PESQUISA MAIS RECENTE, ELABORADA EM CONJUNTO PELO WALL STREET JOURNAL E PELA REDE DE TV NBC, MOSTRA OS CANDIDATOS EMPATADOS. AMBOS APARECEM COM 47% DAS INTENÇÕES DE VOTO.</t>
        </is>
      </c>
      <c r="J3376">
        <f>HYPERLINK("https://www.acritica.com/empatados-nas-pesquisas-obama-e-romney-se-enfrentam-no-ultimo-debate-1.145378", "URL")</f>
        <v/>
      </c>
      <c r="K3376">
        <f>HYPERLINK("https://raw.githubusercontent.com/marcosmapl/dataset_imigrantes/main/noticias_filtered/a_critica/venezuelanos/2012/09_out/html/1.145378_794.html", "HTML")</f>
        <v/>
      </c>
      <c r="L3376">
        <f>HYPERLINK("https://raw.githubusercontent.com/marcosmapl/dataset_imigrantes/main/noticias_filtered/a_critica/venezuelanos/2012/09_out/txt/1.145378_794.txt", "TXT")</f>
        <v/>
      </c>
    </row>
    <row r="3377">
      <c r="A3377" s="1" t="n">
        <v>3375</v>
      </c>
      <c r="B3377" t="n">
        <v>2012</v>
      </c>
      <c r="C3377" s="2" t="n">
        <v>41201.79583333333</v>
      </c>
      <c r="D3377" t="inlineStr">
        <is>
          <t>G1</t>
        </is>
      </c>
      <c r="E3377" t="inlineStr">
        <is>
          <t>VENEZUELANOS</t>
        </is>
      </c>
      <c r="F3377" t="inlineStr"/>
      <c r="G3377" t="inlineStr">
        <is>
          <t>CE PRESSE</t>
        </is>
      </c>
      <c r="H3377" t="inlineStr">
        <is>
          <t>CHÁVEZ DECRETA EMERGÊNCIA EM INFRAESTRUTURA DE PRISÕES VENEZUELANAS</t>
        </is>
      </c>
      <c r="I3377" t="inlineStr"/>
      <c r="J3377">
        <f>HYPERLINK("http://g1.globo.com/mundo/noticia/2012/10/chavez-decreta-emergencia-em-infraestrutura-de-prisoes-venezuelanas.html", "URL")</f>
        <v/>
      </c>
      <c r="K3377">
        <f>HYPERLINK("https://raw.githubusercontent.com/marcosmapl/dataset_imigrantes/main/noticias_filtered/g1/venezuelanos/2012/09_out/html/g1_68439d72-2323-11ed-b24f-6dbe51e79fca_3805.html", "HTML")</f>
        <v/>
      </c>
      <c r="L3377">
        <f>HYPERLINK("https://raw.githubusercontent.com/marcosmapl/dataset_imigrantes/main/noticias_filtered/g1/venezuelanos/2012/09_out/txt/g1_68439d72-2323-11ed-b24f-6dbe51e79fca_3805.txt", "TXT")</f>
        <v/>
      </c>
    </row>
    <row r="3378">
      <c r="A3378" s="1" t="n">
        <v>3376</v>
      </c>
      <c r="B3378" t="n">
        <v>2012</v>
      </c>
      <c r="C3378" s="2" t="n">
        <v>41201.29166666666</v>
      </c>
      <c r="D3378" t="inlineStr">
        <is>
          <t>G1</t>
        </is>
      </c>
      <c r="E3378" t="inlineStr">
        <is>
          <t>HAITIANOS</t>
        </is>
      </c>
      <c r="F3378" t="inlineStr"/>
      <c r="G3378" t="inlineStr">
        <is>
          <t>ETE DAMASCENO E LARISSA MATARÉSIODO G1 RO</t>
        </is>
      </c>
      <c r="H3378" t="inlineStr">
        <is>
          <t>GRÁVIDA, HAITIANA SONHA QUE FILHO SEJA JOGADOR DE FUTEBOL NO BRASIL</t>
        </is>
      </c>
      <c r="I3378" t="inlineStr"/>
      <c r="J3378">
        <f>HYPERLINK("http://g1.globo.com/ro/rondonia/noticia/2012/10/gravida-haitiana-sonha-que-filho-seja-jogador-de-futebol-no-brasil.html", "URL")</f>
        <v/>
      </c>
      <c r="K3378">
        <f>HYPERLINK("https://raw.githubusercontent.com/marcosmapl/dataset_imigrantes/main/noticias_filtered/g1/haitianos/2012/09_out/html/g1_cc29da44-22ed-11ed-b24f-6dbe51e79fca_1688.html", "HTML")</f>
        <v/>
      </c>
      <c r="L3378">
        <f>HYPERLINK("https://raw.githubusercontent.com/marcosmapl/dataset_imigrantes/main/noticias_filtered/g1/haitianos/2012/09_out/txt/g1_cc29da44-22ed-11ed-b24f-6dbe51e79fca_1688.txt", "TXT")</f>
        <v/>
      </c>
    </row>
    <row r="3379">
      <c r="A3379" s="1" t="n">
        <v>3377</v>
      </c>
      <c r="B3379" t="n">
        <v>2012</v>
      </c>
      <c r="C3379" s="2" t="n">
        <v>41200.88719907407</v>
      </c>
      <c r="D3379" t="inlineStr">
        <is>
          <t>A CRITICA</t>
        </is>
      </c>
      <c r="E3379" t="inlineStr">
        <is>
          <t>HAITIANOS</t>
        </is>
      </c>
      <c r="F3379" t="inlineStr"/>
      <c r="G3379" t="inlineStr">
        <is>
          <t>ACRITICA.COM*</t>
        </is>
      </c>
      <c r="H3379" t="inlineStr">
        <is>
          <t>AUTORIZAÇÃO DE TRABALHO PARA ESTRANGEIRO CRESCEM 5% EM NOVE MESES DE 2012</t>
        </is>
      </c>
      <c r="I3379" t="inlineStr">
        <is>
          <t>DE JANEIRO A OUTUBRO O MTE CONCEDEU 55.009 AUTORIZAÇÕES. VISTOS PARA ESPECIALISTAS, TÉCNICOS E HUMANITÁRIOS A HAITIANOS CONTRIBUÍRAM MAIS PARA ESSE CRESCIMENTO</t>
        </is>
      </c>
      <c r="J3379">
        <f>HYPERLINK("https://www.acritica.com/autorizac-o-de-trabalho-para-estrangeiro-crescem-5-em-nove-meses-de-2012-1.145951", "URL")</f>
        <v/>
      </c>
      <c r="K3379">
        <f>HYPERLINK("https://raw.githubusercontent.com/marcosmapl/dataset_imigrantes/main/noticias_filtered/a_critica/haitianos/2012/09_out/html/1.145951_634.html", "HTML")</f>
        <v/>
      </c>
      <c r="L3379">
        <f>HYPERLINK("https://raw.githubusercontent.com/marcosmapl/dataset_imigrantes/main/noticias_filtered/a_critica/haitianos/2012/09_out/txt/1.145951_634.txt", "TXT")</f>
        <v/>
      </c>
    </row>
    <row r="3380">
      <c r="A3380" s="1" t="n">
        <v>3378</v>
      </c>
      <c r="B3380" t="n">
        <v>2012</v>
      </c>
      <c r="C3380" s="2" t="n">
        <v>41199.74166666667</v>
      </c>
      <c r="D3380" t="inlineStr">
        <is>
          <t>G1</t>
        </is>
      </c>
      <c r="E3380" t="inlineStr">
        <is>
          <t>VENEZUELANOS</t>
        </is>
      </c>
      <c r="F3380" t="inlineStr"/>
      <c r="G3380" t="inlineStr">
        <is>
          <t>CIA EFE</t>
        </is>
      </c>
      <c r="H3380" t="inlineStr">
        <is>
          <t>VENEZUELANA CONVIASA AMPLIARÁ DESTINOS INTERNACIONAIS COM AVIÕES DA EMBRAER</t>
        </is>
      </c>
      <c r="I3380" t="inlineStr"/>
      <c r="J3380">
        <f>HYPERLINK("http://g1.globo.com/mundo/noticia/2012/10/venezuelana-conviasa-ampliara-destinos-internacionais-com-avioes-da-embraer.html", "URL")</f>
        <v/>
      </c>
      <c r="K3380">
        <f>HYPERLINK("https://raw.githubusercontent.com/marcosmapl/dataset_imigrantes/main/noticias_filtered/g1/venezuelanos/2012/09_out/html/g1_fff82c9c-230e-11ed-b24f-6dbe51e79fca_2772.html", "HTML")</f>
        <v/>
      </c>
      <c r="L3380">
        <f>HYPERLINK("https://raw.githubusercontent.com/marcosmapl/dataset_imigrantes/main/noticias_filtered/g1/venezuelanos/2012/09_out/txt/g1_fff82c9c-230e-11ed-b24f-6dbe51e79fca_2772.txt", "TXT")</f>
        <v/>
      </c>
    </row>
    <row r="3381">
      <c r="A3381" s="1" t="n">
        <v>3379</v>
      </c>
      <c r="B3381" t="n">
        <v>2012</v>
      </c>
      <c r="C3381" s="2" t="n">
        <v>41199.71875</v>
      </c>
      <c r="D3381" t="inlineStr">
        <is>
          <t>G1</t>
        </is>
      </c>
      <c r="E3381" t="inlineStr">
        <is>
          <t>HAITIANOS</t>
        </is>
      </c>
      <c r="F3381" t="inlineStr"/>
      <c r="G3381" t="inlineStr">
        <is>
          <t>CE PRESSE</t>
        </is>
      </c>
      <c r="H3381" t="inlineStr">
        <is>
          <t>MILHARES DE HAITIANOS PROTESTAM CONTRA O GOVERNO</t>
        </is>
      </c>
      <c r="I3381" t="inlineStr"/>
      <c r="J3381">
        <f>HYPERLINK("http://g1.globo.com/mundo/noticia/2012/10/milhares-de-haitianos-protestam-contra-o-governo.html", "URL")</f>
        <v/>
      </c>
      <c r="K3381">
        <f>HYPERLINK("https://raw.githubusercontent.com/marcosmapl/dataset_imigrantes/main/noticias_filtered/g1/haitianos/2012/09_out/html/g1_5748ebf8-22f6-11ed-b24f-6dbe51e79fca_2008.html", "HTML")</f>
        <v/>
      </c>
      <c r="L3381">
        <f>HYPERLINK("https://raw.githubusercontent.com/marcosmapl/dataset_imigrantes/main/noticias_filtered/g1/haitianos/2012/09_out/txt/g1_5748ebf8-22f6-11ed-b24f-6dbe51e79fca_2008.txt", "TXT")</f>
        <v/>
      </c>
    </row>
    <row r="3382">
      <c r="A3382" s="1" t="n">
        <v>3380</v>
      </c>
      <c r="B3382" t="n">
        <v>2012</v>
      </c>
      <c r="C3382" s="2" t="n">
        <v>41194.54930555556</v>
      </c>
      <c r="D3382" t="inlineStr">
        <is>
          <t>G1</t>
        </is>
      </c>
      <c r="E3382" t="inlineStr">
        <is>
          <t>VENEZUELANOS</t>
        </is>
      </c>
      <c r="F3382" t="inlineStr"/>
      <c r="G3382" t="inlineStr"/>
      <c r="H3382" t="inlineStr">
        <is>
          <t>ELEIÇÕES VENEZUELANAS E INFLAÇÃO: VEJA OS COMENTÁRIOS DE MIRIAM LEITÃO</t>
        </is>
      </c>
      <c r="I3382" t="inlineStr"/>
      <c r="J3382">
        <f>HYPERLINK("http://g1.globo.com/bom-dia-brasil/noticia/2012/10/eleicoes-venezuelanas-e-inflacao-veja-os-comentarios-de-miriam-leitao.html", "URL")</f>
        <v/>
      </c>
      <c r="K3382">
        <f>HYPERLINK("https://raw.githubusercontent.com/marcosmapl/dataset_imigrantes/main/noticias_filtered/g1/venezuelanos/2012/09_out/html/g1_45f24a16-230f-11ed-b24f-6dbe51e79fca_2787.html", "HTML")</f>
        <v/>
      </c>
      <c r="L3382">
        <f>HYPERLINK("https://raw.githubusercontent.com/marcosmapl/dataset_imigrantes/main/noticias_filtered/g1/venezuelanos/2012/09_out/txt/g1_45f24a16-230f-11ed-b24f-6dbe51e79fca_2787.txt", "TXT")</f>
        <v/>
      </c>
    </row>
    <row r="3383">
      <c r="A3383" s="1" t="n">
        <v>3381</v>
      </c>
      <c r="B3383" t="n">
        <v>2012</v>
      </c>
      <c r="C3383" s="2" t="n">
        <v>41192.79583333333</v>
      </c>
      <c r="D3383" t="inlineStr">
        <is>
          <t>G1</t>
        </is>
      </c>
      <c r="E3383" t="inlineStr">
        <is>
          <t>HAITIANOS</t>
        </is>
      </c>
      <c r="F3383" t="inlineStr"/>
      <c r="G3383" t="inlineStr">
        <is>
          <t>1 RO</t>
        </is>
      </c>
      <c r="H3383" t="inlineStr">
        <is>
          <t>HAITIANOS SE ENVOLVEM EM CONFUSÃO POR SALÁRIO ATRASADO EM PORTO VELHO</t>
        </is>
      </c>
      <c r="I3383" t="inlineStr"/>
      <c r="J3383">
        <f>HYPERLINK("http://g1.globo.com/ro/rondonia/noticia/2012/10/haitianos-se-envolvem-em-confusao-por-salario-atrasado-em-porto-velho.html", "URL")</f>
        <v/>
      </c>
      <c r="K3383">
        <f>HYPERLINK("https://raw.githubusercontent.com/marcosmapl/dataset_imigrantes/main/noticias_filtered/g1/haitianos/2012/09_out/html/g1_d0475816-22f9-11ed-b24f-6dbe51e79fca_2185.html", "HTML")</f>
        <v/>
      </c>
      <c r="L3383">
        <f>HYPERLINK("https://raw.githubusercontent.com/marcosmapl/dataset_imigrantes/main/noticias_filtered/g1/haitianos/2012/09_out/txt/g1_d0475816-22f9-11ed-b24f-6dbe51e79fca_2185.txt", "TXT")</f>
        <v/>
      </c>
    </row>
    <row r="3384">
      <c r="A3384" s="1" t="n">
        <v>3382</v>
      </c>
      <c r="B3384" t="n">
        <v>2012</v>
      </c>
      <c r="C3384" s="2" t="n">
        <v>41191.47013888889</v>
      </c>
      <c r="D3384" t="inlineStr">
        <is>
          <t>G1</t>
        </is>
      </c>
      <c r="E3384" t="inlineStr">
        <is>
          <t>HAITIANOS</t>
        </is>
      </c>
      <c r="F3384" t="inlineStr"/>
      <c r="G3384" t="inlineStr">
        <is>
          <t>1 RO</t>
        </is>
      </c>
      <c r="H3384" t="inlineStr">
        <is>
          <t>USINAS DO RIO MADEIRA TÊM 100 HAITIANOS CONTRATADOS, EM PORTO VELHO</t>
        </is>
      </c>
      <c r="I3384" t="inlineStr"/>
      <c r="J3384">
        <f>HYPERLINK("http://g1.globo.com/ro/rondonia/noticia/2012/10/usinas-do-rio-madeira-tem-100-haitianos-contratados-em-porto-velho.html", "URL")</f>
        <v/>
      </c>
      <c r="K3384">
        <f>HYPERLINK("https://raw.githubusercontent.com/marcosmapl/dataset_imigrantes/main/noticias_filtered/g1/haitianos/2012/09_out/html/g1_30952ecc-22f6-11ed-b24f-6dbe51e79fca_1999.html", "HTML")</f>
        <v/>
      </c>
      <c r="L3384">
        <f>HYPERLINK("https://raw.githubusercontent.com/marcosmapl/dataset_imigrantes/main/noticias_filtered/g1/haitianos/2012/09_out/txt/g1_30952ecc-22f6-11ed-b24f-6dbe51e79fca_1999.txt", "TXT")</f>
        <v/>
      </c>
    </row>
    <row r="3385">
      <c r="A3385" s="1" t="n">
        <v>3383</v>
      </c>
      <c r="B3385" t="n">
        <v>2012</v>
      </c>
      <c r="C3385" s="2" t="n">
        <v>41190.82309027778</v>
      </c>
      <c r="D3385" t="inlineStr">
        <is>
          <t>A CRITICA</t>
        </is>
      </c>
      <c r="E3385" t="inlineStr">
        <is>
          <t>VENEZUELANOS</t>
        </is>
      </c>
      <c r="F3385" t="inlineStr"/>
      <c r="G3385" t="inlineStr">
        <is>
          <t>CARINA DOURADO/ENVIADA ESPECIAL DA EBC/RENATA GIRALDI/ AGÊNCIA BRASIL</t>
        </is>
      </c>
      <c r="H3385" t="inlineStr">
        <is>
          <t>SIMPATIZANTES E CORRELIGIONÁRIOS DE CHÁVEZ ESPALHAM CLIMA DE FESTA NAS RUAS DE CARACAS</t>
        </is>
      </c>
      <c r="I3385" t="inlineStr">
        <is>
          <t>ELEITORES DE CHÁVEZ, REELEITO PELA TERCEIRA VEZ PRESIDENTE DA VENEZUELA, ATÉ 2019,  SAÍRAM AS RUAS PARA COMEMORAR A VITÓRIA. NO PAÍS EM QUE O VOTO NÃO É OBRIGATÓRIO, MAIS DE 80% DOS 18,8 MILHÕES DE ELEITORES FORAM ÀS URNAS</t>
        </is>
      </c>
      <c r="J3385">
        <f>HYPERLINK("https://www.acritica.com/simpatizantes-e-correligionarios-de-chavez-espalham-clima-de-festa-nas-ruas-de-caracas-1.151903", "URL")</f>
        <v/>
      </c>
      <c r="K3385">
        <f>HYPERLINK("https://raw.githubusercontent.com/marcosmapl/dataset_imigrantes/main/noticias_filtered/a_critica/venezuelanos/2012/09_out/html/1.151903_210.html", "HTML")</f>
        <v/>
      </c>
      <c r="L3385">
        <f>HYPERLINK("https://raw.githubusercontent.com/marcosmapl/dataset_imigrantes/main/noticias_filtered/a_critica/venezuelanos/2012/09_out/txt/1.151903_210.txt", "TXT")</f>
        <v/>
      </c>
    </row>
    <row r="3386">
      <c r="A3386" s="1" t="n">
        <v>3384</v>
      </c>
      <c r="B3386" t="n">
        <v>2012</v>
      </c>
      <c r="C3386" s="2" t="n">
        <v>41187.58541666667</v>
      </c>
      <c r="D3386" t="inlineStr">
        <is>
          <t>G1</t>
        </is>
      </c>
      <c r="E3386" t="inlineStr">
        <is>
          <t>VENEZUELANOS</t>
        </is>
      </c>
      <c r="F3386" t="inlineStr"/>
      <c r="G3386" t="inlineStr">
        <is>
          <t>CE PRESSE</t>
        </is>
      </c>
      <c r="H3386" t="inlineStr">
        <is>
          <t>OPOSIÇÃO VENEZUELANA FORTALECIDA APOSTA TUDO PARA DERROTAR CHÁVEZ</t>
        </is>
      </c>
      <c r="I3386" t="inlineStr"/>
      <c r="J3386">
        <f>HYPERLINK("http://g1.globo.com/mundo/noticia/2012/10/oposicao-venezuelana-fortalecida-aposta-tudo-para-derrotar-chavez-1.html", "URL")</f>
        <v/>
      </c>
      <c r="K3386">
        <f>HYPERLINK("https://raw.githubusercontent.com/marcosmapl/dataset_imigrantes/main/noticias_filtered/g1/venezuelanos/2012/09_out/html/g1_b7b9b0f6-232a-11ed-b24f-6dbe51e79fca_4198.html", "HTML")</f>
        <v/>
      </c>
      <c r="L3386">
        <f>HYPERLINK("https://raw.githubusercontent.com/marcosmapl/dataset_imigrantes/main/noticias_filtered/g1/venezuelanos/2012/09_out/txt/g1_b7b9b0f6-232a-11ed-b24f-6dbe51e79fca_4198.txt", "TXT")</f>
        <v/>
      </c>
    </row>
    <row r="3387">
      <c r="A3387" s="1" t="n">
        <v>3385</v>
      </c>
      <c r="B3387" t="n">
        <v>2012</v>
      </c>
      <c r="C3387" s="2" t="n">
        <v>41185.45833333334</v>
      </c>
      <c r="D3387" t="inlineStr">
        <is>
          <t>G1</t>
        </is>
      </c>
      <c r="E3387" t="inlineStr">
        <is>
          <t>VENEZUELANOS</t>
        </is>
      </c>
      <c r="F3387" t="inlineStr"/>
      <c r="G3387" t="inlineStr">
        <is>
          <t>CE PRESSE</t>
        </is>
      </c>
      <c r="H3387" t="inlineStr">
        <is>
          <t>OPOSIÇÃO VENEZUELANA FORTALECIDA APOSTA TUDO PARA DERROTAR CHÁVEZ</t>
        </is>
      </c>
      <c r="I3387" t="inlineStr"/>
      <c r="J3387">
        <f>HYPERLINK("http://g1.globo.com/mundo/noticia/2012/10/oposicao-venezuelana-fortalecida-aposta-tudo-para-derrotar-chavez.html", "URL")</f>
        <v/>
      </c>
      <c r="K3387">
        <f>HYPERLINK("https://raw.githubusercontent.com/marcosmapl/dataset_imigrantes/main/noticias_filtered/g1/venezuelanos/2012/09_out/html/g1_44a6db4e-2310-11ed-b24f-6dbe51e79fca_2850.html", "HTML")</f>
        <v/>
      </c>
      <c r="L3387">
        <f>HYPERLINK("https://raw.githubusercontent.com/marcosmapl/dataset_imigrantes/main/noticias_filtered/g1/venezuelanos/2012/09_out/txt/g1_44a6db4e-2310-11ed-b24f-6dbe51e79fca_2850.txt", "TXT")</f>
        <v/>
      </c>
    </row>
    <row r="3388">
      <c r="A3388" s="1" t="n">
        <v>3386</v>
      </c>
      <c r="B3388" t="n">
        <v>2012</v>
      </c>
      <c r="C3388" s="2" t="n">
        <v>41182.53125</v>
      </c>
      <c r="D3388" t="inlineStr">
        <is>
          <t>G1</t>
        </is>
      </c>
      <c r="E3388" t="inlineStr">
        <is>
          <t>VENEZUELANOS</t>
        </is>
      </c>
      <c r="F3388" t="inlineStr"/>
      <c r="G3388" t="inlineStr">
        <is>
          <t>ERS</t>
        </is>
      </c>
      <c r="H3388" t="inlineStr">
        <is>
          <t>DOIS ATIVISTAS DA OPOSIÇÃO VENEZUELANA SÃO MORTOS A TIROS</t>
        </is>
      </c>
      <c r="I3388" t="inlineStr"/>
      <c r="J3388">
        <f>HYPERLINK("http://g1.globo.com/mundo/noticia/2012/09/dois-ativistas-da-oposicao-venezuelana-sao-mortos-a-tiros-1.html", "URL")</f>
        <v/>
      </c>
      <c r="K3388">
        <f>HYPERLINK("https://raw.githubusercontent.com/marcosmapl/dataset_imigrantes/main/noticias_filtered/g1/venezuelanos/2012/08_set/html/g1_55a9a8ec-2309-11ed-b24f-6dbe51e79fca_2439.html", "HTML")</f>
        <v/>
      </c>
      <c r="L3388">
        <f>HYPERLINK("https://raw.githubusercontent.com/marcosmapl/dataset_imigrantes/main/noticias_filtered/g1/venezuelanos/2012/08_set/txt/g1_55a9a8ec-2309-11ed-b24f-6dbe51e79fca_2439.txt", "TXT")</f>
        <v/>
      </c>
    </row>
    <row r="3389">
      <c r="A3389" s="1" t="n">
        <v>3387</v>
      </c>
      <c r="B3389" t="n">
        <v>2012</v>
      </c>
      <c r="C3389" s="2" t="n">
        <v>41180.62569444445</v>
      </c>
      <c r="D3389" t="inlineStr">
        <is>
          <t>G1</t>
        </is>
      </c>
      <c r="E3389" t="inlineStr">
        <is>
          <t>HAITIANOS</t>
        </is>
      </c>
      <c r="F3389" t="inlineStr"/>
      <c r="G3389" t="inlineStr">
        <is>
          <t>1 AM</t>
        </is>
      </c>
      <c r="H3389" t="inlineStr">
        <is>
          <t>OFICINA DISCUTE SITUAÇÃO DOS HAITIANOS NO MERCADO DE TRABALHO NO AM</t>
        </is>
      </c>
      <c r="I3389" t="inlineStr"/>
      <c r="J3389">
        <f>HYPERLINK("http://g1.globo.com/am/amazonas/noticia/2012/09/oficina-discute-situacao-dos-haitianos-no-mercado-de-trabalho-no-am.html", "URL")</f>
        <v/>
      </c>
      <c r="K3389">
        <f>HYPERLINK("https://raw.githubusercontent.com/marcosmapl/dataset_imigrantes/main/noticias_filtered/g1/haitianos/2012/08_set/html/g1_5b944a22-22f1-11ed-b24f-6dbe51e79fca_1746.html", "HTML")</f>
        <v/>
      </c>
      <c r="L3389">
        <f>HYPERLINK("https://raw.githubusercontent.com/marcosmapl/dataset_imigrantes/main/noticias_filtered/g1/haitianos/2012/08_set/txt/g1_5b944a22-22f1-11ed-b24f-6dbe51e79fca_1746.txt", "TXT")</f>
        <v/>
      </c>
    </row>
    <row r="3390">
      <c r="A3390" s="1" t="n">
        <v>3388</v>
      </c>
      <c r="B3390" t="n">
        <v>2012</v>
      </c>
      <c r="C3390" s="2" t="n">
        <v>41180.62291666667</v>
      </c>
      <c r="D3390" t="inlineStr">
        <is>
          <t>G1</t>
        </is>
      </c>
      <c r="E3390" t="inlineStr">
        <is>
          <t>VENEZUELANOS</t>
        </is>
      </c>
      <c r="F3390" t="inlineStr"/>
      <c r="G3390" t="inlineStr">
        <is>
          <t>CE PRESSE</t>
        </is>
      </c>
      <c r="H3390" t="inlineStr">
        <is>
          <t>CHÁVEZ FAVORITO E CAPRILES EM ASCENSÃO A 9 DIAS DAS ELEIÇÕES VENEZUELANAS</t>
        </is>
      </c>
      <c r="I3390" t="inlineStr"/>
      <c r="J3390">
        <f>HYPERLINK("http://g1.globo.com/mundo/noticia/2012/09/chavez-favorito-e-capriles-em-ascensao-a-9-dias-das-eleicoes-venezuelanas.html", "URL")</f>
        <v/>
      </c>
      <c r="K3390">
        <f>HYPERLINK("https://raw.githubusercontent.com/marcosmapl/dataset_imigrantes/main/noticias_filtered/g1/venezuelanos/2012/08_set/html/g1_73a3f434-230d-11ed-b24f-6dbe51e79fca_2688.html", "HTML")</f>
        <v/>
      </c>
      <c r="L3390">
        <f>HYPERLINK("https://raw.githubusercontent.com/marcosmapl/dataset_imigrantes/main/noticias_filtered/g1/venezuelanos/2012/08_set/txt/g1_73a3f434-230d-11ed-b24f-6dbe51e79fca_2688.txt", "TXT")</f>
        <v/>
      </c>
    </row>
    <row r="3391">
      <c r="A3391" s="1" t="n">
        <v>3389</v>
      </c>
      <c r="B3391" t="n">
        <v>2012</v>
      </c>
      <c r="C3391" s="2" t="n">
        <v>41178.83958333333</v>
      </c>
      <c r="D3391" t="inlineStr">
        <is>
          <t>G1</t>
        </is>
      </c>
      <c r="E3391" t="inlineStr">
        <is>
          <t>VENEZUELANOS</t>
        </is>
      </c>
      <c r="F3391" t="inlineStr"/>
      <c r="G3391" t="inlineStr">
        <is>
          <t>EUTERS</t>
        </is>
      </c>
      <c r="H3391" t="inlineStr">
        <is>
          <t>NA RETA FINAL DA CAMPANHA, PESQUISAS VENEZUELANAS SE CONTRADIZEM</t>
        </is>
      </c>
      <c r="I3391" t="inlineStr"/>
      <c r="J3391">
        <f>HYPERLINK("http://g1.globo.com/mundo/noticia/2012/09/na-reta-final-da-campanha-pesquisas-venezuelanas-se-contradizem.html", "URL")</f>
        <v/>
      </c>
      <c r="K3391">
        <f>HYPERLINK("https://raw.githubusercontent.com/marcosmapl/dataset_imigrantes/main/noticias_filtered/g1/venezuelanos/2012/08_set/html/g1_d08850dc-231c-11ed-b24f-6dbe51e79fca_3466.html", "HTML")</f>
        <v/>
      </c>
      <c r="L3391">
        <f>HYPERLINK("https://raw.githubusercontent.com/marcosmapl/dataset_imigrantes/main/noticias_filtered/g1/venezuelanos/2012/08_set/txt/g1_d08850dc-231c-11ed-b24f-6dbe51e79fca_3466.txt", "TXT")</f>
        <v/>
      </c>
    </row>
    <row r="3392">
      <c r="A3392" s="1" t="n">
        <v>3390</v>
      </c>
      <c r="B3392" t="n">
        <v>2012</v>
      </c>
      <c r="C3392" s="2" t="n">
        <v>41177.77777777778</v>
      </c>
      <c r="D3392" t="inlineStr">
        <is>
          <t>G1</t>
        </is>
      </c>
      <c r="E3392" t="inlineStr">
        <is>
          <t>HAITIANOS</t>
        </is>
      </c>
      <c r="F3392" t="inlineStr"/>
      <c r="G3392" t="inlineStr">
        <is>
          <t>1 ITAPETININGA E REGIÃO</t>
        </is>
      </c>
      <c r="H3392" t="inlineStr">
        <is>
          <t>HAITIANO QUE ESTAVA DESAPARECIDO RETORNA AO CONSERVATÓRIO DE TATUÍ, SP</t>
        </is>
      </c>
      <c r="I3392" t="inlineStr"/>
      <c r="J3392">
        <f>HYPERLINK("http://g1.globo.com/sao-paulo/itapetininga-regiao/noticia/2012/09/haitiano-que-estava-desaparecido-retorna-ao-conservatorio-de-tatui-sp.html", "URL")</f>
        <v/>
      </c>
      <c r="K3392">
        <f>HYPERLINK("https://raw.githubusercontent.com/marcosmapl/dataset_imigrantes/main/noticias_filtered/g1/haitianos/2012/08_set/html/g1_c9250baa-2321-11ed-b24f-6dbe51e79fca_3718.html", "HTML")</f>
        <v/>
      </c>
      <c r="L3392">
        <f>HYPERLINK("https://raw.githubusercontent.com/marcosmapl/dataset_imigrantes/main/noticias_filtered/g1/haitianos/2012/08_set/txt/g1_c9250baa-2321-11ed-b24f-6dbe51e79fca_3718.txt", "TXT")</f>
        <v/>
      </c>
    </row>
    <row r="3393">
      <c r="A3393" s="1" t="n">
        <v>3391</v>
      </c>
      <c r="B3393" t="n">
        <v>2012</v>
      </c>
      <c r="C3393" s="2" t="n">
        <v>41176.76875</v>
      </c>
      <c r="D3393" t="inlineStr">
        <is>
          <t>G1</t>
        </is>
      </c>
      <c r="E3393" t="inlineStr">
        <is>
          <t>HAITIANOS</t>
        </is>
      </c>
      <c r="F3393" t="inlineStr"/>
      <c r="G3393" t="inlineStr">
        <is>
          <t>ERS</t>
        </is>
      </c>
      <c r="H3393" t="inlineStr">
        <is>
          <t>JUSTIÇA URUGUAIA PROCESSA FUZILEIROS POR ABUSO A HAITIANO</t>
        </is>
      </c>
      <c r="I3393" t="inlineStr"/>
      <c r="J3393">
        <f>HYPERLINK("http://g1.globo.com/mundo/noticia/2012/09/justica-uruguaia-processa-fuzileiros-por-abuso-a-haitiano.html", "URL")</f>
        <v/>
      </c>
      <c r="K3393">
        <f>HYPERLINK("https://raw.githubusercontent.com/marcosmapl/dataset_imigrantes/main/noticias_filtered/g1/haitianos/2012/08_set/html/g1_853ac5a0-2327-11ed-b24f-6dbe51e79fca_4038.html", "HTML")</f>
        <v/>
      </c>
      <c r="L3393">
        <f>HYPERLINK("https://raw.githubusercontent.com/marcosmapl/dataset_imigrantes/main/noticias_filtered/g1/haitianos/2012/08_set/txt/g1_853ac5a0-2327-11ed-b24f-6dbe51e79fca_4038.txt", "TXT")</f>
        <v/>
      </c>
    </row>
    <row r="3394">
      <c r="A3394" s="1" t="n">
        <v>3392</v>
      </c>
      <c r="B3394" t="n">
        <v>2012</v>
      </c>
      <c r="C3394" s="2" t="n">
        <v>41172.47291666667</v>
      </c>
      <c r="D3394" t="inlineStr">
        <is>
          <t>G1</t>
        </is>
      </c>
      <c r="E3394" t="inlineStr">
        <is>
          <t>VENEZUELANOS</t>
        </is>
      </c>
      <c r="F3394" t="inlineStr"/>
      <c r="G3394" t="inlineStr">
        <is>
          <t>CE PRESSE</t>
        </is>
      </c>
      <c r="H3394" t="inlineStr">
        <is>
          <t>INCÊNDIO EM REFINARIA VENEZUELANA SERÁ EXTINTO NAS PRÓXIMAS HORAS</t>
        </is>
      </c>
      <c r="I3394" t="inlineStr"/>
      <c r="J3394">
        <f>HYPERLINK("http://g1.globo.com/mundo/noticia/2012/09/incendio-em-refinaria-venezuelana-sera-extinto-nas-proximas-horas.html", "URL")</f>
        <v/>
      </c>
      <c r="K3394">
        <f>HYPERLINK("https://raw.githubusercontent.com/marcosmapl/dataset_imigrantes/main/noticias_filtered/g1/venezuelanos/2012/08_set/html/g1_c927160a-231e-11ed-b24f-6dbe51e79fca_3585.html", "HTML")</f>
        <v/>
      </c>
      <c r="L3394">
        <f>HYPERLINK("https://raw.githubusercontent.com/marcosmapl/dataset_imigrantes/main/noticias_filtered/g1/venezuelanos/2012/08_set/txt/g1_c927160a-231e-11ed-b24f-6dbe51e79fca_3585.txt", "TXT")</f>
        <v/>
      </c>
    </row>
    <row r="3395">
      <c r="A3395" s="1" t="n">
        <v>3393</v>
      </c>
      <c r="B3395" t="n">
        <v>2012</v>
      </c>
      <c r="C3395" s="2" t="n">
        <v>41171.88178240741</v>
      </c>
      <c r="D3395" t="inlineStr">
        <is>
          <t>A CRITICA</t>
        </is>
      </c>
      <c r="E3395" t="inlineStr">
        <is>
          <t>HAITIANOS</t>
        </is>
      </c>
      <c r="F3395" t="inlineStr"/>
      <c r="G3395" t="inlineStr">
        <is>
          <t>MARCOS CHAGAS/AGÊNCIA BRASIL</t>
        </is>
      </c>
      <c r="H3395" t="inlineStr">
        <is>
          <t>HAITIANOS DEVEM RECEBER ATÉ SEXTA-FEIRA PROTOCOLOS PARA OBTER DOCUMENTOS NO BRASIL</t>
        </is>
      </c>
      <c r="I3395" t="inlineStr">
        <is>
          <t>O PROTOCOLO AUTORIZA O IMIGRANTE HAITIANO A CONSEGUIR OS DOCUMENTOS POR PRAZO INICIAL DE 180 DIAS, QUE PODE SER PRORROGADO.</t>
        </is>
      </c>
      <c r="J3395">
        <f>HYPERLINK("https://www.acritica.com/haitianos-devem-receber-ate-sexta-feira-protocolos-para-obter-documentos-no-brasil-1.125198", "URL")</f>
        <v/>
      </c>
      <c r="K3395">
        <f>HYPERLINK("https://raw.githubusercontent.com/marcosmapl/dataset_imigrantes/main/noticias_filtered/a_critica/haitianos/2012/08_set/html/1.125198_875.html", "HTML")</f>
        <v/>
      </c>
      <c r="L3395">
        <f>HYPERLINK("https://raw.githubusercontent.com/marcosmapl/dataset_imigrantes/main/noticias_filtered/a_critica/haitianos/2012/08_set/txt/1.125198_875.txt", "TXT")</f>
        <v/>
      </c>
    </row>
    <row r="3396">
      <c r="A3396" s="1" t="n">
        <v>3394</v>
      </c>
      <c r="B3396" t="n">
        <v>2012</v>
      </c>
      <c r="C3396" s="2" t="n">
        <v>41170.87430555555</v>
      </c>
      <c r="D3396" t="inlineStr">
        <is>
          <t>G1</t>
        </is>
      </c>
      <c r="E3396" t="inlineStr">
        <is>
          <t>HAITIANOS</t>
        </is>
      </c>
      <c r="F3396" t="inlineStr"/>
      <c r="G3396" t="inlineStr"/>
      <c r="H3396" t="inlineStr">
        <is>
          <t>IMIGRANTES HAITIANOS VOLTAM A ENTRAR ILEGALMENTE NO BRASIL</t>
        </is>
      </c>
      <c r="I3396" t="inlineStr"/>
      <c r="J3396">
        <f>HYPERLINK("http://g1.globo.com/jornal-nacional/noticia/2012/09/imigrantes-haitianos-voltam-entrar-ilegalmente-no-brasil.html", "URL")</f>
        <v/>
      </c>
      <c r="K3396">
        <f>HYPERLINK("https://raw.githubusercontent.com/marcosmapl/dataset_imigrantes/main/noticias_filtered/g1/haitianos/2012/08_set/html/g1_632d2bb4-22f6-11ed-b24f-6dbe51e79fca_2010.html", "HTML")</f>
        <v/>
      </c>
      <c r="L3396">
        <f>HYPERLINK("https://raw.githubusercontent.com/marcosmapl/dataset_imigrantes/main/noticias_filtered/g1/haitianos/2012/08_set/txt/g1_632d2bb4-22f6-11ed-b24f-6dbe51e79fca_2010.txt", "TXT")</f>
        <v/>
      </c>
    </row>
    <row r="3397">
      <c r="A3397" s="1" t="n">
        <v>3395</v>
      </c>
      <c r="B3397" t="n">
        <v>2012</v>
      </c>
      <c r="C3397" s="2" t="n">
        <v>41170.62387731481</v>
      </c>
      <c r="D3397" t="inlineStr">
        <is>
          <t>A CRITICA</t>
        </is>
      </c>
      <c r="E3397" t="inlineStr">
        <is>
          <t>VENEZUELANOS</t>
        </is>
      </c>
      <c r="F3397" t="inlineStr">
        <is>
          <t>ESPORTES</t>
        </is>
      </c>
      <c r="G3397" t="inlineStr">
        <is>
          <t>ACRÍTICA.COM</t>
        </is>
      </c>
      <c r="H3397" t="inlineStr">
        <is>
          <t>PERMANÊNCIA DE BRUNO SENNA NA EQUIPE DA WILLIAMS EM 2013 É INCERTA</t>
        </is>
      </c>
      <c r="I3397" t="inlineStr">
        <is>
          <t>O PILOTO BRASILEIRO OCUPA A 16ª POSIÇÃO NO CAMPEONATO E SUA MELHOR COLOCAÇÃO FOI UM SEXTO LUGAR NO GP DA MALÁSIA, SEGUNDO DA TEMPORADA</t>
        </is>
      </c>
      <c r="J3397">
        <f>HYPERLINK("https://www.acritica.com/esportes/permanencia-de-bruno-senna-na-equipe-da-williams-em-2013-e-incerta-1.123429", "URL")</f>
        <v/>
      </c>
      <c r="K3397">
        <f>HYPERLINK("https://raw.githubusercontent.com/marcosmapl/dataset_imigrantes/main/noticias_filtered/a_critica/venezuelanos/2012/08_set/html/1.123429_1333.html", "HTML")</f>
        <v/>
      </c>
      <c r="L3397">
        <f>HYPERLINK("https://raw.githubusercontent.com/marcosmapl/dataset_imigrantes/main/noticias_filtered/a_critica/venezuelanos/2012/08_set/txt/1.123429_1333.txt", "TXT")</f>
        <v/>
      </c>
    </row>
    <row r="3398">
      <c r="A3398" s="1" t="n">
        <v>3396</v>
      </c>
      <c r="B3398" t="n">
        <v>2012</v>
      </c>
      <c r="C3398" s="2" t="n">
        <v>41169.54791666667</v>
      </c>
      <c r="D3398" t="inlineStr">
        <is>
          <t>G1</t>
        </is>
      </c>
      <c r="E3398" t="inlineStr">
        <is>
          <t>HAITIANOS</t>
        </is>
      </c>
      <c r="F3398" t="inlineStr"/>
      <c r="G3398" t="inlineStr">
        <is>
          <t>CIA EFE</t>
        </is>
      </c>
      <c r="H3398" t="inlineStr">
        <is>
          <t>DEPUTADA DIZ QUE FLUXO DE HAITIANOS ILEGAIS SEGUE INTENSO NO BRASIL</t>
        </is>
      </c>
      <c r="I3398" t="inlineStr"/>
      <c r="J3398">
        <f>HYPERLINK("http://g1.globo.com/mundo/noticia/2012/09/deputada-diz-que-fluxo-de-haitianos-ilegais-segue-intenso-no-brasil.html", "URL")</f>
        <v/>
      </c>
      <c r="K3398">
        <f>HYPERLINK("https://raw.githubusercontent.com/marcosmapl/dataset_imigrantes/main/noticias_filtered/g1/haitianos/2012/08_set/html/g1_827ba96a-22fa-11ed-b24f-6dbe51e79fca_2224.html", "HTML")</f>
        <v/>
      </c>
      <c r="L3398">
        <f>HYPERLINK("https://raw.githubusercontent.com/marcosmapl/dataset_imigrantes/main/noticias_filtered/g1/haitianos/2012/08_set/txt/g1_827ba96a-22fa-11ed-b24f-6dbe51e79fca_2224.txt", "TXT")</f>
        <v/>
      </c>
    </row>
    <row r="3399">
      <c r="A3399" s="1" t="n">
        <v>3397</v>
      </c>
      <c r="B3399" t="n">
        <v>2012</v>
      </c>
      <c r="C3399" s="2" t="n">
        <v>41166.85</v>
      </c>
      <c r="D3399" t="inlineStr">
        <is>
          <t>G1</t>
        </is>
      </c>
      <c r="E3399" t="inlineStr">
        <is>
          <t>VENEZUELANOS</t>
        </is>
      </c>
      <c r="F3399" t="inlineStr"/>
      <c r="G3399" t="inlineStr">
        <is>
          <t>ERS</t>
        </is>
      </c>
      <c r="H3399" t="inlineStr">
        <is>
          <t>CORRUPÇÃO DOMINA CAMPANHA VENEZUELANA APÓS VÍDEO COM OPOSICIONISTA</t>
        </is>
      </c>
      <c r="I3399" t="inlineStr"/>
      <c r="J3399">
        <f>HYPERLINK("http://g1.globo.com/mundo/noticia/2012/09/corrupcao-domina-campanha-venezuelana-apos-video-com-oposicionista.html", "URL")</f>
        <v/>
      </c>
      <c r="K3399">
        <f>HYPERLINK("https://raw.githubusercontent.com/marcosmapl/dataset_imigrantes/main/noticias_filtered/g1/venezuelanos/2012/08_set/html/g1_a25efebc-231d-11ed-b24f-6dbe51e79fca_3511.html", "HTML")</f>
        <v/>
      </c>
      <c r="L3399">
        <f>HYPERLINK("https://raw.githubusercontent.com/marcosmapl/dataset_imigrantes/main/noticias_filtered/g1/venezuelanos/2012/08_set/txt/g1_a25efebc-231d-11ed-b24f-6dbe51e79fca_3511.txt", "TXT")</f>
        <v/>
      </c>
    </row>
    <row r="3400">
      <c r="A3400" s="1" t="n">
        <v>3398</v>
      </c>
      <c r="B3400" t="n">
        <v>2012</v>
      </c>
      <c r="C3400" s="2" t="n">
        <v>41166.73815972222</v>
      </c>
      <c r="D3400" t="inlineStr">
        <is>
          <t>A CRITICA</t>
        </is>
      </c>
      <c r="E3400" t="inlineStr">
        <is>
          <t>HAITIANOS</t>
        </is>
      </c>
      <c r="F3400" t="inlineStr"/>
      <c r="G3400" t="inlineStr">
        <is>
          <t>MARCOS CHAGAS/ AGÊNCIA BRASIL</t>
        </is>
      </c>
      <c r="H3400" t="inlineStr">
        <is>
          <t>HAITIANOS AMEAÇAM MANTER REPRESENTANTE DO GOVERNO DO ACRE SOB CÁRCERE PRIVADO</t>
        </is>
      </c>
      <c r="I3400" t="inlineStr">
        <is>
          <t>OS IMIGRANTES CONDICIONAM O CÁRCERE DO REPRESENTANTE DO GOVERNO À EXIGÊNCIA PARA QUE POLÍCIA FEDERAL EMITA ATÉ DIA 17 O VISTO DE ENTRADA DELES NO PAÍS</t>
        </is>
      </c>
      <c r="J3400">
        <f>HYPERLINK("https://www.acritica.com/haitianos-ameacam-manter-representante-do-governo-do-acre-sob-carcere-privado-1.124016", "URL")</f>
        <v/>
      </c>
      <c r="K3400">
        <f>HYPERLINK("https://raw.githubusercontent.com/marcosmapl/dataset_imigrantes/main/noticias_filtered/a_critica/haitianos/2012/08_set/html/1.124016_673.html", "HTML")</f>
        <v/>
      </c>
      <c r="L3400">
        <f>HYPERLINK("https://raw.githubusercontent.com/marcosmapl/dataset_imigrantes/main/noticias_filtered/a_critica/haitianos/2012/08_set/txt/1.124016_673.txt", "TXT")</f>
        <v/>
      </c>
    </row>
    <row r="3401">
      <c r="A3401" s="1" t="n">
        <v>3399</v>
      </c>
      <c r="B3401" t="n">
        <v>2012</v>
      </c>
      <c r="C3401" s="2" t="n">
        <v>41157.57513888889</v>
      </c>
      <c r="D3401" t="inlineStr">
        <is>
          <t>A CRITICA</t>
        </is>
      </c>
      <c r="E3401" t="inlineStr">
        <is>
          <t>VENEZUELANOS</t>
        </is>
      </c>
      <c r="F3401" t="inlineStr">
        <is>
          <t>AMAZONIA</t>
        </is>
      </c>
      <c r="G3401" t="inlineStr">
        <is>
          <t>RENATA GIRALDI/ AGÊNCIA BRASIL</t>
        </is>
      </c>
      <c r="H3401" t="inlineStr">
        <is>
          <t>COMISSÃO DA CÂMARA ESPERA QUE VENEZUELA ESCLAREÇA DENÚNCIA DE MORTES DE YANOMAMIS</t>
        </is>
      </c>
      <c r="I3401" t="inlineStr">
        <is>
          <t>APÓS UMA SÉRIE DE INVESTIGAÇÕES SOBRE A DENÚNCIA DE MASSACRE, A MINISTRA DO PODER POPULAR PARA OS POVOS INDÍGENAS, NICIA MALDONADO, RESPONSÁVEL PELA APURAÇÃO DO CASO NA VENEZUELA, DISSE QUE NÃO HÁ INDÍCIOS DE “QUALQUER MORTE OU DE QUEIMA DE CASAS, NEM DE MASSACRE DE YANOMAMIS NO ALTO ORINOCO”</t>
        </is>
      </c>
      <c r="J3401">
        <f>HYPERLINK("https://www.acritica.com/amazonia/comiss-o-da-camara-espera-que-venezuela-esclareca-denuncia-de-mortes-de-yanomamis-1.142798", "URL")</f>
        <v/>
      </c>
      <c r="K3401">
        <f>HYPERLINK("https://raw.githubusercontent.com/marcosmapl/dataset_imigrantes/main/noticias_filtered/a_critica/venezuelanos/2012/08_set/html/1.142798_1241.html", "HTML")</f>
        <v/>
      </c>
      <c r="L3401">
        <f>HYPERLINK("https://raw.githubusercontent.com/marcosmapl/dataset_imigrantes/main/noticias_filtered/a_critica/venezuelanos/2012/08_set/txt/1.142798_1241.txt", "TXT")</f>
        <v/>
      </c>
    </row>
    <row r="3402">
      <c r="A3402" s="1" t="n">
        <v>3400</v>
      </c>
      <c r="B3402" t="n">
        <v>2012</v>
      </c>
      <c r="C3402" s="2" t="n">
        <v>41155.53604166667</v>
      </c>
      <c r="D3402" t="inlineStr">
        <is>
          <t>A CRITICA</t>
        </is>
      </c>
      <c r="E3402" t="inlineStr">
        <is>
          <t>VENEZUELANOS</t>
        </is>
      </c>
      <c r="F3402" t="inlineStr"/>
      <c r="G3402" t="inlineStr">
        <is>
          <t>MILTON DE OLIVEIRA</t>
        </is>
      </c>
      <c r="H3402" t="inlineStr">
        <is>
          <t>AMAZONAS COMEMORA ELEVAÇÃO À CATEGORIA DE PROVÍNCIA, MAS MUITOS DESCONHECEM HISTÓRIA</t>
        </is>
      </c>
      <c r="I3402" t="inlineStr">
        <is>
          <t>DESINFORMAÇÃO SOBRE O CONTEXTO EM QUE SE DEU O DESLIGAMENTO DO AMAZONAS DO PARÁ AGRAVA RIVALIDADES ENTRE OS DOIS ESTADOS</t>
        </is>
      </c>
      <c r="J3402">
        <f>HYPERLINK("https://www.acritica.com/amazonas-comemora-elevac-o-a-categoria-de-provincia-mas-muitos-desconhecem-historia-1.143296", "URL")</f>
        <v/>
      </c>
      <c r="K3402">
        <f>HYPERLINK("https://raw.githubusercontent.com/marcosmapl/dataset_imigrantes/main/noticias_filtered/a_critica/venezuelanos/2012/08_set/html/1.143296_676.html", "HTML")</f>
        <v/>
      </c>
      <c r="L3402">
        <f>HYPERLINK("https://raw.githubusercontent.com/marcosmapl/dataset_imigrantes/main/noticias_filtered/a_critica/venezuelanos/2012/08_set/txt/1.143296_676.txt", "TXT")</f>
        <v/>
      </c>
    </row>
    <row r="3403">
      <c r="A3403" s="1" t="n">
        <v>3401</v>
      </c>
      <c r="B3403" t="n">
        <v>2012</v>
      </c>
      <c r="C3403" s="2" t="n">
        <v>41151.64703703704</v>
      </c>
      <c r="D3403" t="inlineStr">
        <is>
          <t>A CRITICA</t>
        </is>
      </c>
      <c r="E3403" t="inlineStr">
        <is>
          <t>VENEZUELANOS</t>
        </is>
      </c>
      <c r="F3403" t="inlineStr">
        <is>
          <t>AMAZONIA</t>
        </is>
      </c>
      <c r="G3403" t="inlineStr">
        <is>
          <t>ELAÍZE FARIAS</t>
        </is>
      </c>
      <c r="H3403" t="inlineStr">
        <is>
          <t>VENEZUELA DENUNCIA GARIMPEIROS BRASILEIROS POR MASSACRE CONTRA YANOMAMI</t>
        </is>
      </c>
      <c r="I3403" t="inlineStr">
        <is>
          <t>A DENÚNCIA DIVULGADA EM NOTA DA COORDENAÇÃO DAS ORGANIZAÇÕES INDÍGENAS DA AMAZÔNIA É BASEADA NO RELATO DE TRÊS SOBREVIVENTES QUE ESTAVAM NA MATA NO MOMENTO DO ASSASSINATO</t>
        </is>
      </c>
      <c r="J3403">
        <f>HYPERLINK("https://www.acritica.com/amazonia/venezuela-denuncia-garimpeiros-brasileiros-por-massacre-contra-yanomami-1.117425", "URL")</f>
        <v/>
      </c>
      <c r="K3403">
        <f>HYPERLINK("https://raw.githubusercontent.com/marcosmapl/dataset_imigrantes/main/noticias_filtered/a_critica/venezuelanos/2012/07_ago/html/1.117425_760.html", "HTML")</f>
        <v/>
      </c>
      <c r="L3403">
        <f>HYPERLINK("https://raw.githubusercontent.com/marcosmapl/dataset_imigrantes/main/noticias_filtered/a_critica/venezuelanos/2012/07_ago/txt/1.117425_760.txt", "TXT")</f>
        <v/>
      </c>
    </row>
    <row r="3404">
      <c r="A3404" s="1" t="n">
        <v>3402</v>
      </c>
      <c r="B3404" t="n">
        <v>2012</v>
      </c>
      <c r="C3404" s="2" t="n">
        <v>41151.32291666666</v>
      </c>
      <c r="D3404" t="inlineStr">
        <is>
          <t>G1</t>
        </is>
      </c>
      <c r="E3404" t="inlineStr">
        <is>
          <t>VENEZUELANOS</t>
        </is>
      </c>
      <c r="F3404" t="inlineStr"/>
      <c r="G3404" t="inlineStr">
        <is>
          <t>ERS</t>
        </is>
      </c>
      <c r="H3404" t="inlineStr">
        <is>
          <t>DATA DE REINÍCIO DE REFINARIA VENEZUELANA AINDA É INCERTA</t>
        </is>
      </c>
      <c r="I3404" t="inlineStr"/>
      <c r="J3404">
        <f>HYPERLINK("http://g1.globo.com/mundo/noticia/2012/08/data-de-reinicio-de-refinaria-venezuelana-ainda-e-incerta.html", "URL")</f>
        <v/>
      </c>
      <c r="K3404">
        <f>HYPERLINK("https://raw.githubusercontent.com/marcosmapl/dataset_imigrantes/main/noticias_filtered/g1/venezuelanos/2012/07_ago/html/g1_64c50c6a-2316-11ed-b24f-6dbe51e79fca_3144.html", "HTML")</f>
        <v/>
      </c>
      <c r="L3404">
        <f>HYPERLINK("https://raw.githubusercontent.com/marcosmapl/dataset_imigrantes/main/noticias_filtered/g1/venezuelanos/2012/07_ago/txt/g1_64c50c6a-2316-11ed-b24f-6dbe51e79fca_3144.txt", "TXT")</f>
        <v/>
      </c>
    </row>
    <row r="3405">
      <c r="A3405" s="1" t="n">
        <v>3403</v>
      </c>
      <c r="B3405" t="n">
        <v>2012</v>
      </c>
      <c r="C3405" s="2" t="n">
        <v>41151.32291666666</v>
      </c>
      <c r="D3405" t="inlineStr">
        <is>
          <t>G1</t>
        </is>
      </c>
      <c r="E3405" t="inlineStr">
        <is>
          <t>VENEZUELANOS</t>
        </is>
      </c>
      <c r="F3405" t="inlineStr"/>
      <c r="G3405" t="inlineStr">
        <is>
          <t>EUTERS</t>
        </is>
      </c>
      <c r="H3405" t="inlineStr">
        <is>
          <t>REINÍCIO DE PRODUÇÃO EM REFINARIA VENEZUELANA AINDA É INCERTO</t>
        </is>
      </c>
      <c r="I3405" t="inlineStr"/>
      <c r="J3405">
        <f>HYPERLINK("http://g1.globo.com/mundo/noticia/2012/08/data-de-reinicio-de-refinaria-venezuelana-ainda-e-incerta-2.html", "URL")</f>
        <v/>
      </c>
      <c r="K3405">
        <f>HYPERLINK("https://raw.githubusercontent.com/marcosmapl/dataset_imigrantes/main/noticias_filtered/g1/venezuelanos/2012/07_ago/html/g1_f4e75a78-2325-11ed-b24f-6dbe51e79fca_3945.html", "HTML")</f>
        <v/>
      </c>
      <c r="L3405">
        <f>HYPERLINK("https://raw.githubusercontent.com/marcosmapl/dataset_imigrantes/main/noticias_filtered/g1/venezuelanos/2012/07_ago/txt/g1_f4e75a78-2325-11ed-b24f-6dbe51e79fca_3945.txt", "TXT")</f>
        <v/>
      </c>
    </row>
    <row r="3406">
      <c r="A3406" s="1" t="n">
        <v>3404</v>
      </c>
      <c r="B3406" t="n">
        <v>2012</v>
      </c>
      <c r="C3406" s="2" t="n">
        <v>41151.32291666666</v>
      </c>
      <c r="D3406" t="inlineStr">
        <is>
          <t>G1</t>
        </is>
      </c>
      <c r="E3406" t="inlineStr">
        <is>
          <t>VENEZUELANOS</t>
        </is>
      </c>
      <c r="F3406" t="inlineStr"/>
      <c r="G3406" t="inlineStr">
        <is>
          <t>ERS</t>
        </is>
      </c>
      <c r="H3406" t="inlineStr">
        <is>
          <t>DATA DE REINÍCIO DE REFINARIA VENEZUELANA AINDA É INCERTA</t>
        </is>
      </c>
      <c r="I3406" t="inlineStr"/>
      <c r="J3406">
        <f>HYPERLINK("http://g1.globo.com/economia/noticia/2012/08/data-de-reinicio-de-refinaria-venezuelana-ainda-e-incerta-1.html", "URL")</f>
        <v/>
      </c>
      <c r="K3406">
        <f>HYPERLINK("https://raw.githubusercontent.com/marcosmapl/dataset_imigrantes/main/noticias_filtered/g1/venezuelanos/2012/07_ago/html/g1_a8c2464c-231d-11ed-b24f-6dbe51e79fca_3513.html", "HTML")</f>
        <v/>
      </c>
      <c r="L3406">
        <f>HYPERLINK("https://raw.githubusercontent.com/marcosmapl/dataset_imigrantes/main/noticias_filtered/g1/venezuelanos/2012/07_ago/txt/g1_a8c2464c-231d-11ed-b24f-6dbe51e79fca_3513.txt", "TXT")</f>
        <v/>
      </c>
    </row>
    <row r="3407">
      <c r="A3407" s="1" t="n">
        <v>3405</v>
      </c>
      <c r="B3407" t="n">
        <v>2012</v>
      </c>
      <c r="C3407" s="2" t="n">
        <v>41150.75894675926</v>
      </c>
      <c r="D3407" t="inlineStr">
        <is>
          <t>A CRITICA</t>
        </is>
      </c>
      <c r="E3407" t="inlineStr">
        <is>
          <t>HAITIANOS</t>
        </is>
      </c>
      <c r="F3407" t="inlineStr"/>
      <c r="G3407" t="inlineStr">
        <is>
          <t>ACRÍTICA.COM</t>
        </is>
      </c>
      <c r="H3407" t="inlineStr">
        <is>
          <t>CINQUENTA PEDIDOS DE REFÚGIO FORAM REGISTRADOS NO AM EM 2012</t>
        </is>
      </c>
      <c r="I3407" t="inlineStr">
        <is>
          <t>ATÉ DEZEMBRO DE 2011, SEGUNDO O CONARE, OS REFUGIADOS NO BRASIL TOTALIZAVAM 4.477 PESSOAS, DOS QUAIS 4.053 RECONHECIDOS POR VIAS TRADICIONAIS DE ELEGIBILIDADE E 424 RECONHECIDOS PELO PROGRAMA DE REASSENTAMENTO (QUE PERMANECEM NO PAÍS)</t>
        </is>
      </c>
      <c r="J3407">
        <f>HYPERLINK("https://www.acritica.com/cinquenta-pedidos-de-refugio-foram-registrados-no-am-em-2012-1.131148", "URL")</f>
        <v/>
      </c>
      <c r="K3407">
        <f>HYPERLINK("https://raw.githubusercontent.com/marcosmapl/dataset_imigrantes/main/noticias_filtered/a_critica/haitianos/2012/07_ago/html/1.131148_363.html", "HTML")</f>
        <v/>
      </c>
      <c r="L3407">
        <f>HYPERLINK("https://raw.githubusercontent.com/marcosmapl/dataset_imigrantes/main/noticias_filtered/a_critica/haitianos/2012/07_ago/txt/1.131148_363.txt", "TXT")</f>
        <v/>
      </c>
    </row>
    <row r="3408">
      <c r="A3408" s="1" t="n">
        <v>3406</v>
      </c>
      <c r="B3408" t="n">
        <v>2012</v>
      </c>
      <c r="C3408" s="2" t="n">
        <v>41149.57637731481</v>
      </c>
      <c r="D3408" t="inlineStr">
        <is>
          <t>A CRITICA</t>
        </is>
      </c>
      <c r="E3408" t="inlineStr">
        <is>
          <t>HAITIANOS</t>
        </is>
      </c>
      <c r="F3408" t="inlineStr"/>
      <c r="G3408" t="inlineStr">
        <is>
          <t>CAROLINA SARRES/AGÊNCIA BRASIL</t>
        </is>
      </c>
      <c r="H3408" t="inlineStr">
        <is>
          <t>CRESCE O NÚMERO DE HAITIANOS AUTORIZADOS A TRABALHAR NO BRASIL</t>
        </is>
      </c>
      <c r="I3408" t="inlineStr">
        <is>
          <t>O ACRE E O AMAZONAS SÃO A PORTA DE ENTRADA DE HAITIANOS NO BRASIL. EM 2012, MAIS DE 1,3 MIL ENTRARAM PELO AMAZONAS E 930 PELO ACRE</t>
        </is>
      </c>
      <c r="J3408">
        <f>HYPERLINK("https://www.acritica.com/cresce-o-numero-de-haitianos-autorizados-a-trabalhar-no-brasil-1.117469", "URL")</f>
        <v/>
      </c>
      <c r="K3408">
        <f>HYPERLINK("https://raw.githubusercontent.com/marcosmapl/dataset_imigrantes/main/noticias_filtered/a_critica/haitianos/2012/07_ago/html/1.117469_188.html", "HTML")</f>
        <v/>
      </c>
      <c r="L3408">
        <f>HYPERLINK("https://raw.githubusercontent.com/marcosmapl/dataset_imigrantes/main/noticias_filtered/a_critica/haitianos/2012/07_ago/txt/1.117469_188.txt", "TXT")</f>
        <v/>
      </c>
    </row>
    <row r="3409">
      <c r="A3409" s="1" t="n">
        <v>3407</v>
      </c>
      <c r="B3409" t="n">
        <v>2012</v>
      </c>
      <c r="C3409" s="2" t="n">
        <v>41149.575</v>
      </c>
      <c r="D3409" t="inlineStr">
        <is>
          <t>G1</t>
        </is>
      </c>
      <c r="E3409" t="inlineStr">
        <is>
          <t>HAITIANOS</t>
        </is>
      </c>
      <c r="F3409" t="inlineStr"/>
      <c r="G3409" t="inlineStr">
        <is>
          <t>EUTERS</t>
        </is>
      </c>
      <c r="H3409" t="inlineStr">
        <is>
          <t>BAHAMAS REPATRIARÁ HAITIANOS DE BARCO ENCALHADO DURANTE TEMPESTADE</t>
        </is>
      </c>
      <c r="I3409" t="inlineStr"/>
      <c r="J3409">
        <f>HYPERLINK("http://g1.globo.com/mundo/noticia/2012/08/haitianos-em-barco-encalhado-serao-repatriados-16-estao-desaparecidos.html", "URL")</f>
        <v/>
      </c>
      <c r="K3409">
        <f>HYPERLINK("https://raw.githubusercontent.com/marcosmapl/dataset_imigrantes/main/noticias_filtered/g1/haitianos/2012/07_ago/html/g1_a60d5c04-22f8-11ed-b24f-6dbe51e79fca_2149.html", "HTML")</f>
        <v/>
      </c>
      <c r="L3409">
        <f>HYPERLINK("https://raw.githubusercontent.com/marcosmapl/dataset_imigrantes/main/noticias_filtered/g1/haitianos/2012/07_ago/txt/g1_a60d5c04-22f8-11ed-b24f-6dbe51e79fca_2149.txt", "TXT")</f>
        <v/>
      </c>
    </row>
    <row r="3410">
      <c r="A3410" s="1" t="n">
        <v>3408</v>
      </c>
      <c r="B3410" t="n">
        <v>2012</v>
      </c>
      <c r="C3410" s="2" t="n">
        <v>41149.45416666667</v>
      </c>
      <c r="D3410" t="inlineStr">
        <is>
          <t>A CRITICA</t>
        </is>
      </c>
      <c r="E3410" t="inlineStr">
        <is>
          <t>VENEZUELANOS</t>
        </is>
      </c>
      <c r="F3410" t="inlineStr">
        <is>
          <t>ENTRETENIMENTO</t>
        </is>
      </c>
      <c r="G3410" t="inlineStr">
        <is>
          <t>MELLANIE HASIMOTO</t>
        </is>
      </c>
      <c r="H3410" t="inlineStr">
        <is>
          <t>EXTREME MANAUS GOSPEL ACONTECERÁ NO PRÓXIMO DIA 06</t>
        </is>
      </c>
      <c r="I3410" t="inlineStr">
        <is>
          <t>ENTRETENIMENTO DE QUALIDADE É OFERECIDO NESTE EVENTO, QUE REÚNE ARTISTAS DO MUNDO EVANGÉLICO QUE INTEGRAM A CULTURA URBANA E ESPERA POR 10 MIL PESSOAS</t>
        </is>
      </c>
      <c r="J3410">
        <f>HYPERLINK("https://www.acritica.com/entretenimento/extreme-manaus-gospel-acontecera-no-proximo-dia-06-1.117609", "URL")</f>
        <v/>
      </c>
      <c r="K3410">
        <f>HYPERLINK("https://raw.githubusercontent.com/marcosmapl/dataset_imigrantes/main/noticias_filtered/a_critica/venezuelanos/2012/07_ago/html/1.117609_462.html", "HTML")</f>
        <v/>
      </c>
      <c r="L3410">
        <f>HYPERLINK("https://raw.githubusercontent.com/marcosmapl/dataset_imigrantes/main/noticias_filtered/a_critica/venezuelanos/2012/07_ago/txt/1.117609_462.txt", "TXT")</f>
        <v/>
      </c>
    </row>
    <row r="3411">
      <c r="A3411" s="1" t="n">
        <v>3409</v>
      </c>
      <c r="B3411" t="n">
        <v>2012</v>
      </c>
      <c r="C3411" s="2" t="n">
        <v>41149.42083333333</v>
      </c>
      <c r="D3411" t="inlineStr">
        <is>
          <t>G1</t>
        </is>
      </c>
      <c r="E3411" t="inlineStr">
        <is>
          <t>VENEZUELANOS</t>
        </is>
      </c>
      <c r="F3411" t="inlineStr"/>
      <c r="G3411" t="inlineStr">
        <is>
          <t>CE PRESSE</t>
        </is>
      </c>
      <c r="H3411" t="inlineStr">
        <is>
          <t>INCÊNDIO NA REFINARIA VENEZUELANA DE AMUAY É EXTINTO</t>
        </is>
      </c>
      <c r="I3411" t="inlineStr"/>
      <c r="J3411">
        <f>HYPERLINK("http://g1.globo.com/mundo/noticia/2012/08/incendio-na-refinaria-venezuelana-de-amuay-e-extinto.html", "URL")</f>
        <v/>
      </c>
      <c r="K3411">
        <f>HYPERLINK("https://raw.githubusercontent.com/marcosmapl/dataset_imigrantes/main/noticias_filtered/g1/venezuelanos/2012/07_ago/html/g1_dff8a7fc-2325-11ed-b24f-6dbe51e79fca_3939.html", "HTML")</f>
        <v/>
      </c>
      <c r="L3411">
        <f>HYPERLINK("https://raw.githubusercontent.com/marcosmapl/dataset_imigrantes/main/noticias_filtered/g1/venezuelanos/2012/07_ago/txt/g1_dff8a7fc-2325-11ed-b24f-6dbe51e79fca_3939.txt", "TXT")</f>
        <v/>
      </c>
    </row>
    <row r="3412">
      <c r="A3412" s="1" t="n">
        <v>3410</v>
      </c>
      <c r="B3412" t="n">
        <v>2012</v>
      </c>
      <c r="C3412" s="2" t="n">
        <v>41149.38333333333</v>
      </c>
      <c r="D3412" t="inlineStr">
        <is>
          <t>G1</t>
        </is>
      </c>
      <c r="E3412" t="inlineStr">
        <is>
          <t>VENEZUELANOS</t>
        </is>
      </c>
      <c r="F3412" t="inlineStr"/>
      <c r="G3412" t="inlineStr">
        <is>
          <t>ERS</t>
        </is>
      </c>
      <c r="H3412" t="inlineStr">
        <is>
          <t>INCÊNDIO NA REFINARIA VENEZUELANA É APAGADO--TESTEMUNHAS</t>
        </is>
      </c>
      <c r="I3412" t="inlineStr"/>
      <c r="J3412">
        <f>HYPERLINK("http://g1.globo.com/mundo/noticia/2012/08/incendio-na-refinaria-venezuelana-e-apagado-testemunhas-2.html", "URL")</f>
        <v/>
      </c>
      <c r="K3412">
        <f>HYPERLINK("https://raw.githubusercontent.com/marcosmapl/dataset_imigrantes/main/noticias_filtered/g1/venezuelanos/2012/07_ago/html/g1_6bcac7dc-231d-11ed-b24f-6dbe51e79fca_3501.html", "HTML")</f>
        <v/>
      </c>
      <c r="L3412">
        <f>HYPERLINK("https://raw.githubusercontent.com/marcosmapl/dataset_imigrantes/main/noticias_filtered/g1/venezuelanos/2012/07_ago/txt/g1_6bcac7dc-231d-11ed-b24f-6dbe51e79fca_3501.txt", "TXT")</f>
        <v/>
      </c>
    </row>
    <row r="3413">
      <c r="A3413" s="1" t="n">
        <v>3411</v>
      </c>
      <c r="B3413" t="n">
        <v>2012</v>
      </c>
      <c r="C3413" s="2" t="n">
        <v>41149.38333333333</v>
      </c>
      <c r="D3413" t="inlineStr">
        <is>
          <t>G1</t>
        </is>
      </c>
      <c r="E3413" t="inlineStr">
        <is>
          <t>VENEZUELANOS</t>
        </is>
      </c>
      <c r="F3413" t="inlineStr"/>
      <c r="G3413" t="inlineStr">
        <is>
          <t>ERS</t>
        </is>
      </c>
      <c r="H3413" t="inlineStr">
        <is>
          <t>INCÊNDIO NA REFINARIA VENEZUELANA É APAGADO--TESTEMUNHAS</t>
        </is>
      </c>
      <c r="I3413" t="inlineStr"/>
      <c r="J3413">
        <f>HYPERLINK("http://g1.globo.com/mundo/noticia/2012/08/incendio-na-refinaria-venezuelana-e-apagado-testemunhas-1.html", "URL")</f>
        <v/>
      </c>
      <c r="K3413">
        <f>HYPERLINK("https://raw.githubusercontent.com/marcosmapl/dataset_imigrantes/main/noticias_filtered/g1/venezuelanos/2012/07_ago/html/g1_74bb8b7e-2327-11ed-b24f-6dbe51e79fca_4036.html", "HTML")</f>
        <v/>
      </c>
      <c r="L3413">
        <f>HYPERLINK("https://raw.githubusercontent.com/marcosmapl/dataset_imigrantes/main/noticias_filtered/g1/venezuelanos/2012/07_ago/txt/g1_74bb8b7e-2327-11ed-b24f-6dbe51e79fca_4036.txt", "TXT")</f>
        <v/>
      </c>
    </row>
    <row r="3414">
      <c r="A3414" s="1" t="n">
        <v>3412</v>
      </c>
      <c r="B3414" t="n">
        <v>2012</v>
      </c>
      <c r="C3414" s="2" t="n">
        <v>41149.38333333333</v>
      </c>
      <c r="D3414" t="inlineStr">
        <is>
          <t>G1</t>
        </is>
      </c>
      <c r="E3414" t="inlineStr">
        <is>
          <t>VENEZUELANOS</t>
        </is>
      </c>
      <c r="F3414" t="inlineStr"/>
      <c r="G3414" t="inlineStr">
        <is>
          <t>ERS</t>
        </is>
      </c>
      <c r="H3414" t="inlineStr">
        <is>
          <t>INCÊNDIO NA REFINARIA VENEZUELANA É APAGADO--TESTEMUNHAS</t>
        </is>
      </c>
      <c r="I3414" t="inlineStr"/>
      <c r="J3414">
        <f>HYPERLINK("http://g1.globo.com/economia/noticia/2012/08/incendio-na-refinaria-venezuelana-e-apagado-testemunhas.html", "URL")</f>
        <v/>
      </c>
      <c r="K3414">
        <f>HYPERLINK("https://raw.githubusercontent.com/marcosmapl/dataset_imigrantes/main/noticias_filtered/g1/venezuelanos/2012/07_ago/html/g1_ad2cd586-232b-11ed-b24f-6dbe51e79fca_4263.html", "HTML")</f>
        <v/>
      </c>
      <c r="L3414">
        <f>HYPERLINK("https://raw.githubusercontent.com/marcosmapl/dataset_imigrantes/main/noticias_filtered/g1/venezuelanos/2012/07_ago/txt/g1_ad2cd586-232b-11ed-b24f-6dbe51e79fca_4263.txt", "TXT")</f>
        <v/>
      </c>
    </row>
    <row r="3415">
      <c r="A3415" s="1" t="n">
        <v>3413</v>
      </c>
      <c r="B3415" t="n">
        <v>2012</v>
      </c>
      <c r="C3415" s="2" t="n">
        <v>41148.76041666666</v>
      </c>
      <c r="D3415" t="inlineStr">
        <is>
          <t>G1</t>
        </is>
      </c>
      <c r="E3415" t="inlineStr">
        <is>
          <t>VENEZUELANOS</t>
        </is>
      </c>
      <c r="F3415" t="inlineStr"/>
      <c r="G3415" t="inlineStr">
        <is>
          <t>FE</t>
        </is>
      </c>
      <c r="H3415" t="inlineStr">
        <is>
          <t>INCÊNDIO EM REFINARIA VENEZUELANA SE PROPAGA PARA TERCEIRO TANQUE</t>
        </is>
      </c>
      <c r="I3415" t="inlineStr"/>
      <c r="J3415">
        <f>HYPERLINK("http://g1.globo.com/mundo/noticia/2012/08/incendio-em-refinaria-venezuelana-se-propaga-para-terceiro-tanque.html", "URL")</f>
        <v/>
      </c>
      <c r="K3415">
        <f>HYPERLINK("https://raw.githubusercontent.com/marcosmapl/dataset_imigrantes/main/noticias_filtered/g1/venezuelanos/2012/07_ago/html/g1_0fb630f0-2320-11ed-b24f-6dbe51e79fca_3660.html", "HTML")</f>
        <v/>
      </c>
      <c r="L3415">
        <f>HYPERLINK("https://raw.githubusercontent.com/marcosmapl/dataset_imigrantes/main/noticias_filtered/g1/venezuelanos/2012/07_ago/txt/g1_0fb630f0-2320-11ed-b24f-6dbe51e79fca_3660.txt", "TXT")</f>
        <v/>
      </c>
    </row>
    <row r="3416">
      <c r="A3416" s="1" t="n">
        <v>3414</v>
      </c>
      <c r="B3416" t="n">
        <v>2012</v>
      </c>
      <c r="C3416" s="2" t="n">
        <v>41147.47847222222</v>
      </c>
      <c r="D3416" t="inlineStr">
        <is>
          <t>G1</t>
        </is>
      </c>
      <c r="E3416" t="inlineStr">
        <is>
          <t>HAITIANOS</t>
        </is>
      </c>
      <c r="F3416" t="inlineStr"/>
      <c r="G3416" t="inlineStr">
        <is>
          <t>ISON SEVERIANODO G1 AM</t>
        </is>
      </c>
      <c r="H3416" t="inlineStr">
        <is>
          <t>PASTORAL ESTIMA QUE 1.800 HAITIANOS ESTEJAM REFUGIADOS EM MANAUS</t>
        </is>
      </c>
      <c r="I3416" t="inlineStr"/>
      <c r="J3416">
        <f>HYPERLINK("http://g1.globo.com/am/amazonas/noticia/2012/08/pastoral-estima-que-1800-haitianos-estejam-refugiados-em-manaus.html", "URL")</f>
        <v/>
      </c>
      <c r="K3416">
        <f>HYPERLINK("https://raw.githubusercontent.com/marcosmapl/dataset_imigrantes/main/noticias_filtered/g1/haitianos/2012/07_ago/html/g1_10ea0956-22f3-11ed-b24f-6dbe51e79fca_1822.html", "HTML")</f>
        <v/>
      </c>
      <c r="L3416">
        <f>HYPERLINK("https://raw.githubusercontent.com/marcosmapl/dataset_imigrantes/main/noticias_filtered/g1/haitianos/2012/07_ago/txt/g1_10ea0956-22f3-11ed-b24f-6dbe51e79fca_1822.txt", "TXT")</f>
        <v/>
      </c>
    </row>
    <row r="3417">
      <c r="A3417" s="1" t="n">
        <v>3415</v>
      </c>
      <c r="B3417" t="n">
        <v>2012</v>
      </c>
      <c r="C3417" s="2" t="n">
        <v>41147.16458333333</v>
      </c>
      <c r="D3417" t="inlineStr">
        <is>
          <t>G1</t>
        </is>
      </c>
      <c r="E3417" t="inlineStr">
        <is>
          <t>HAITIANOS</t>
        </is>
      </c>
      <c r="F3417" t="inlineStr"/>
      <c r="G3417" t="inlineStr">
        <is>
          <t>FE</t>
        </is>
      </c>
      <c r="H3417" t="inlineStr">
        <is>
          <t>SOBE PARA 6 NÚMERO DE MORTOS POR  PASSAGEM DE TEMPESTADE PELO HAITI</t>
        </is>
      </c>
      <c r="I3417" t="inlineStr"/>
      <c r="J3417">
        <f>HYPERLINK("http://g1.globo.com/mundo/noticia/2012/08/isaac-deixa-6-mortos-e-14-mil-evacuados-na-passagem-pelo-haiti.html", "URL")</f>
        <v/>
      </c>
      <c r="K3417">
        <f>HYPERLINK("https://raw.githubusercontent.com/marcosmapl/dataset_imigrantes/main/noticias_filtered/g1/haitianos/2012/07_ago/html/g1_bbfeb87c-232b-11ed-b24f-6dbe51e79fca_4266.html", "HTML")</f>
        <v/>
      </c>
      <c r="L3417">
        <f>HYPERLINK("https://raw.githubusercontent.com/marcosmapl/dataset_imigrantes/main/noticias_filtered/g1/haitianos/2012/07_ago/txt/g1_bbfeb87c-232b-11ed-b24f-6dbe51e79fca_4266.txt", "TXT")</f>
        <v/>
      </c>
    </row>
    <row r="3418">
      <c r="A3418" s="1" t="n">
        <v>3416</v>
      </c>
      <c r="B3418" t="n">
        <v>2012</v>
      </c>
      <c r="C3418" s="2" t="n">
        <v>41146.84791666667</v>
      </c>
      <c r="D3418" t="inlineStr">
        <is>
          <t>G1</t>
        </is>
      </c>
      <c r="E3418" t="inlineStr">
        <is>
          <t>VENEZUELANOS</t>
        </is>
      </c>
      <c r="F3418" t="inlineStr"/>
      <c r="G3418" t="inlineStr">
        <is>
          <t>CIA EFE</t>
        </is>
      </c>
      <c r="H3418" t="inlineStr">
        <is>
          <t>EXPLOSÃO EM REFINARIA, MAIS UM INCIDENTE NA ATIVIDADE PETROLÍFERA VENEZUELANA</t>
        </is>
      </c>
      <c r="I3418" t="inlineStr"/>
      <c r="J3418">
        <f>HYPERLINK("http://g1.globo.com/mundo/noticia/2012/08/explosao-em-refinaria-mais-um-incidente-na-atividade-petrolifera-venezuelana.html", "URL")</f>
        <v/>
      </c>
      <c r="K3418">
        <f>HYPERLINK("https://raw.githubusercontent.com/marcosmapl/dataset_imigrantes/main/noticias_filtered/g1/venezuelanos/2012/07_ago/html/g1_819c8ac4-2317-11ed-b24f-6dbe51e79fca_3212.html", "HTML")</f>
        <v/>
      </c>
      <c r="L3418">
        <f>HYPERLINK("https://raw.githubusercontent.com/marcosmapl/dataset_imigrantes/main/noticias_filtered/g1/venezuelanos/2012/07_ago/txt/g1_819c8ac4-2317-11ed-b24f-6dbe51e79fca_3212.txt", "TXT")</f>
        <v/>
      </c>
    </row>
    <row r="3419">
      <c r="A3419" s="1" t="n">
        <v>3417</v>
      </c>
      <c r="B3419" t="n">
        <v>2012</v>
      </c>
      <c r="C3419" s="2" t="n">
        <v>41143.83541666667</v>
      </c>
      <c r="D3419" t="inlineStr">
        <is>
          <t>G1</t>
        </is>
      </c>
      <c r="E3419" t="inlineStr">
        <is>
          <t>VENEZUELANOS</t>
        </is>
      </c>
      <c r="F3419" t="inlineStr"/>
      <c r="G3419" t="inlineStr">
        <is>
          <t>CE PRESSE</t>
        </is>
      </c>
      <c r="H3419" t="inlineStr">
        <is>
          <t>UNASUL, ÚNICO ORGANISMO INTERNACIONAL CONFIRMADO NAS ELEIÇÕES VENEZUELANAS</t>
        </is>
      </c>
      <c r="I3419" t="inlineStr"/>
      <c r="J3419">
        <f>HYPERLINK("http://g1.globo.com/mundo/noticia/2012/08/unasul-unico-organismo-internacional-confirmado-nas-eleicoes-venezuelanas.html", "URL")</f>
        <v/>
      </c>
      <c r="K3419">
        <f>HYPERLINK("https://raw.githubusercontent.com/marcosmapl/dataset_imigrantes/main/noticias_filtered/g1/venezuelanos/2012/07_ago/html/g1_d669c62c-2329-11ed-b24f-6dbe51e79fca_4142.html", "HTML")</f>
        <v/>
      </c>
      <c r="L3419">
        <f>HYPERLINK("https://raw.githubusercontent.com/marcosmapl/dataset_imigrantes/main/noticias_filtered/g1/venezuelanos/2012/07_ago/txt/g1_d669c62c-2329-11ed-b24f-6dbe51e79fca_4142.txt", "TXT")</f>
        <v/>
      </c>
    </row>
    <row r="3420">
      <c r="A3420" s="1" t="n">
        <v>3418</v>
      </c>
      <c r="B3420" t="n">
        <v>2012</v>
      </c>
      <c r="C3420" s="2" t="n">
        <v>41143.64166666667</v>
      </c>
      <c r="D3420" t="inlineStr">
        <is>
          <t>G1</t>
        </is>
      </c>
      <c r="E3420" t="inlineStr">
        <is>
          <t>HAITIANOS</t>
        </is>
      </c>
      <c r="F3420" t="inlineStr"/>
      <c r="G3420" t="inlineStr">
        <is>
          <t>CE PRESSE</t>
        </is>
      </c>
      <c r="H3420" t="inlineStr">
        <is>
          <t>COMEÇA A RECONSTRUÇÃO DO PALÁCIO DESTRUÍDO NO TERREMOTO NO HAITI</t>
        </is>
      </c>
      <c r="I3420" t="inlineStr"/>
      <c r="J3420">
        <f>HYPERLINK("http://g1.globo.com/mundo/noticia/2012/08/comeca-a-reconstrucao-do-palacio-presidencial-destruido-no-terremoto-no-haiti.html", "URL")</f>
        <v/>
      </c>
      <c r="K3420">
        <f>HYPERLINK("https://raw.githubusercontent.com/marcosmapl/dataset_imigrantes/main/noticias_filtered/g1/haitianos/2012/07_ago/html/g1_ef38b8b0-2307-11ed-b24f-6dbe51e79fca_2353.html", "HTML")</f>
        <v/>
      </c>
      <c r="L3420">
        <f>HYPERLINK("https://raw.githubusercontent.com/marcosmapl/dataset_imigrantes/main/noticias_filtered/g1/haitianos/2012/07_ago/txt/g1_ef38b8b0-2307-11ed-b24f-6dbe51e79fca_2353.txt", "TXT")</f>
        <v/>
      </c>
    </row>
    <row r="3421">
      <c r="A3421" s="1" t="n">
        <v>3419</v>
      </c>
      <c r="B3421" t="n">
        <v>2012</v>
      </c>
      <c r="C3421" s="2" t="n">
        <v>41142.67847222222</v>
      </c>
      <c r="D3421" t="inlineStr">
        <is>
          <t>G1</t>
        </is>
      </c>
      <c r="E3421" t="inlineStr">
        <is>
          <t>HAITIANOS</t>
        </is>
      </c>
      <c r="F3421" t="inlineStr"/>
      <c r="G3421" t="inlineStr">
        <is>
          <t>1 MS</t>
        </is>
      </c>
      <c r="H3421" t="inlineStr">
        <is>
          <t>HAITIANO É PRESO USANDO DOCUMENTO FALSO EM MATO GROSSO DO SUL</t>
        </is>
      </c>
      <c r="I3421" t="inlineStr"/>
      <c r="J3421">
        <f>HYPERLINK("http://g1.globo.com/mato-grosso-do-sul/noticia/2012/08/haitiano-e-preso-usando-documento-falso-em-mato-grosso-do-sul.html", "URL")</f>
        <v/>
      </c>
      <c r="K3421">
        <f>HYPERLINK("https://raw.githubusercontent.com/marcosmapl/dataset_imigrantes/main/noticias_filtered/g1/haitianos/2012/07_ago/html/g1_0eb30a46-2309-11ed-b24f-6dbe51e79fca_2422.html", "HTML")</f>
        <v/>
      </c>
      <c r="L3421">
        <f>HYPERLINK("https://raw.githubusercontent.com/marcosmapl/dataset_imigrantes/main/noticias_filtered/g1/haitianos/2012/07_ago/txt/g1_0eb30a46-2309-11ed-b24f-6dbe51e79fca_2422.txt", "TXT")</f>
        <v/>
      </c>
    </row>
    <row r="3422">
      <c r="A3422" s="1" t="n">
        <v>3420</v>
      </c>
      <c r="B3422" t="n">
        <v>2012</v>
      </c>
      <c r="C3422" s="2" t="n">
        <v>41140.83231481481</v>
      </c>
      <c r="D3422" t="inlineStr">
        <is>
          <t>A CRITICA</t>
        </is>
      </c>
      <c r="E3422" t="inlineStr">
        <is>
          <t>HAITIANOS</t>
        </is>
      </c>
      <c r="F3422" t="inlineStr"/>
      <c r="G3422" t="inlineStr">
        <is>
          <t>MARCOS CHAGAS/AGÊNCIA BRASIL</t>
        </is>
      </c>
      <c r="H3422" t="inlineStr">
        <is>
          <t>HAITIANOS EM BRASILEIA USAM NOVA ROTA DE IMIGRAÇÃO ILEGAL PARA O BRASIL</t>
        </is>
      </c>
      <c r="I3422" t="inlineStr">
        <is>
          <t>OS HAITIANOS TAMBÉM COSTUMAM ENTRAR NO BRASIL POR TABATINGA, NO AMAZONAS. O MUNICÍPIO FAZ FRONTEIRA COM A COLÔMBIA</t>
        </is>
      </c>
      <c r="J3422">
        <f>HYPERLINK("https://www.acritica.com/haitianos-em-brasileia-usam-nova-rota-de-imigrac-o-ilegal-para-o-brasil-1.130247", "URL")</f>
        <v/>
      </c>
      <c r="K3422">
        <f>HYPERLINK("https://raw.githubusercontent.com/marcosmapl/dataset_imigrantes/main/noticias_filtered/a_critica/haitianos/2012/07_ago/html/1.130247_1129.html", "HTML")</f>
        <v/>
      </c>
      <c r="L3422">
        <f>HYPERLINK("https://raw.githubusercontent.com/marcosmapl/dataset_imigrantes/main/noticias_filtered/a_critica/haitianos/2012/07_ago/txt/1.130247_1129.txt", "TXT")</f>
        <v/>
      </c>
    </row>
    <row r="3423">
      <c r="A3423" s="1" t="n">
        <v>3421</v>
      </c>
      <c r="B3423" t="n">
        <v>2012</v>
      </c>
      <c r="C3423" s="2" t="n">
        <v>41134.44469907408</v>
      </c>
      <c r="D3423" t="inlineStr">
        <is>
          <t>A CRITICA</t>
        </is>
      </c>
      <c r="E3423" t="inlineStr">
        <is>
          <t>HAITIANOS</t>
        </is>
      </c>
      <c r="F3423" t="inlineStr">
        <is>
          <t>MANAUS</t>
        </is>
      </c>
      <c r="G3423" t="inlineStr">
        <is>
          <t>ALINE CABRAL</t>
        </is>
      </c>
      <c r="H3423" t="inlineStr">
        <is>
          <t>SOBRAM VAGAS, FALTA QUALIFICAÇÃO PARA CONSTRUÇÃO CIVIL EM MANAUS</t>
        </is>
      </c>
      <c r="I3423" t="inlineStr">
        <is>
          <t>EXISTEM VAGAS NA CONSTRUÇÃO CIVIL. O QUE NÃO TEM É MÃO DE OBRA</t>
        </is>
      </c>
      <c r="J3423">
        <f>HYPERLINK("https://www.acritica.com/manaus/sobram-vagas-falta-qualificac-o-para-construc-o-civil-em-manaus-1.129139", "URL")</f>
        <v/>
      </c>
      <c r="K3423">
        <f>HYPERLINK("https://raw.githubusercontent.com/marcosmapl/dataset_imigrantes/main/noticias_filtered/a_critica/haitianos/2012/07_ago/html/1.129139_1350.html", "HTML")</f>
        <v/>
      </c>
      <c r="L3423">
        <f>HYPERLINK("https://raw.githubusercontent.com/marcosmapl/dataset_imigrantes/main/noticias_filtered/a_critica/haitianos/2012/07_ago/txt/1.129139_1350.txt", "TXT")</f>
        <v/>
      </c>
    </row>
    <row r="3424">
      <c r="A3424" s="1" t="n">
        <v>3422</v>
      </c>
      <c r="B3424" t="n">
        <v>2012</v>
      </c>
      <c r="C3424" s="2" t="n">
        <v>41131.85476851852</v>
      </c>
      <c r="D3424" t="inlineStr">
        <is>
          <t>A CRITICA</t>
        </is>
      </c>
      <c r="E3424" t="inlineStr">
        <is>
          <t>HAITIANOS</t>
        </is>
      </c>
      <c r="F3424" t="inlineStr">
        <is>
          <t>AMAZONIA</t>
        </is>
      </c>
      <c r="G3424" t="inlineStr">
        <is>
          <t>ACRÍTICA.COM</t>
        </is>
      </c>
      <c r="H3424" t="inlineStr">
        <is>
          <t>MIGRAÇÃO HAITIANA NA AMAZÔNIA É TEMA DE SEMINÁRIO, EM MANAUS</t>
        </is>
      </c>
      <c r="I3424" t="inlineStr">
        <is>
          <t>ENTRE ALGUNS ASSUNTOS A SEREM ABORDADOS ESTÃO O PERFIL DOS MIGRANTES; A POLÍTICA MIGRATÓRIA DO BRASIL CONTEMPORÂNEO; AS AÇÕES POLÍTICAS E SOCIAIS EM RESPEITO AO MOVIMENTO MIGRATÓRIO HAITIANOS, ENTRE OUTROS</t>
        </is>
      </c>
      <c r="J3424">
        <f>HYPERLINK("https://www.acritica.com/amazonia/migrac-o-haitiana-na-amazonia-e-tema-de-seminario-em-manaus-1.118912", "URL")</f>
        <v/>
      </c>
      <c r="K3424">
        <f>HYPERLINK("https://raw.githubusercontent.com/marcosmapl/dataset_imigrantes/main/noticias_filtered/a_critica/haitianos/2012/07_ago/html/1.118912_328.html", "HTML")</f>
        <v/>
      </c>
      <c r="L3424">
        <f>HYPERLINK("https://raw.githubusercontent.com/marcosmapl/dataset_imigrantes/main/noticias_filtered/a_critica/haitianos/2012/07_ago/txt/1.118912_328.txt", "TXT")</f>
        <v/>
      </c>
    </row>
    <row r="3425">
      <c r="A3425" s="1" t="n">
        <v>3423</v>
      </c>
      <c r="B3425" t="n">
        <v>2012</v>
      </c>
      <c r="C3425" s="2" t="n">
        <v>41129.34861111111</v>
      </c>
      <c r="D3425" t="inlineStr">
        <is>
          <t>G1</t>
        </is>
      </c>
      <c r="E3425" t="inlineStr">
        <is>
          <t>HAITIANOS</t>
        </is>
      </c>
      <c r="F3425" t="inlineStr"/>
      <c r="G3425" t="inlineStr">
        <is>
          <t>1 MG, COM INFORMAÇÕES DO BOM DIA BRASIL</t>
        </is>
      </c>
      <c r="H3425" t="inlineStr">
        <is>
          <t>REFUGIADOS HAITIANOS TRABALHAM NA REFORMA DO MINEIRÃO EM BH</t>
        </is>
      </c>
      <c r="I3425" t="inlineStr"/>
      <c r="J3425">
        <f>HYPERLINK("http://g1.globo.com/minas-gerais/noticia/2012/08/refugiados-haitianos-trabalham-na-reforma-do-mineirao-em-bh.html", "URL")</f>
        <v/>
      </c>
      <c r="K3425">
        <f>HYPERLINK("https://raw.githubusercontent.com/marcosmapl/dataset_imigrantes/main/noticias_filtered/g1/haitianos/2012/07_ago/html/g1_b01e8b18-22f4-11ed-b24f-6dbe51e79fca_1905.html", "HTML")</f>
        <v/>
      </c>
      <c r="L3425">
        <f>HYPERLINK("https://raw.githubusercontent.com/marcosmapl/dataset_imigrantes/main/noticias_filtered/g1/haitianos/2012/07_ago/txt/g1_b01e8b18-22f4-11ed-b24f-6dbe51e79fca_1905.txt", "TXT")</f>
        <v/>
      </c>
    </row>
    <row r="3426">
      <c r="A3426" s="1" t="n">
        <v>3424</v>
      </c>
      <c r="B3426" t="n">
        <v>2012</v>
      </c>
      <c r="C3426" s="2" t="n">
        <v>41127.96511574074</v>
      </c>
      <c r="D3426" t="inlineStr">
        <is>
          <t>A CRITICA</t>
        </is>
      </c>
      <c r="E3426" t="inlineStr">
        <is>
          <t>VENEZUELANOS</t>
        </is>
      </c>
      <c r="F3426" t="inlineStr">
        <is>
          <t>ESPORTES</t>
        </is>
      </c>
      <c r="G3426" t="inlineStr">
        <is>
          <t>ACRÍTICA.COM</t>
        </is>
      </c>
      <c r="H3426" t="inlineStr">
        <is>
          <t>EM LONDRES, ADRIANA VENCE MARROQUINA E GARANTE 100ª MEDALHA AO BRASIL</t>
        </is>
      </c>
      <c r="I3426" t="inlineStr">
        <is>
          <t>A PUGILISTA SE TORNA A SEGUNDA MEDALHISTA DO PAÍS NA HISTÓRIA NESTA MODALIDADE, AJUDANDO O BRASIL A ALCANÇAR A MEDALHA DE NÚMERO 100, HÁ 44 ANOS</t>
        </is>
      </c>
      <c r="J3426">
        <f>HYPERLINK("https://www.acritica.com/esportes/em-londres-adriana-vence-marroquina-e-garante-100-medalha-ao-brasil-1.128145", "URL")</f>
        <v/>
      </c>
      <c r="K3426">
        <f>HYPERLINK("https://raw.githubusercontent.com/marcosmapl/dataset_imigrantes/main/noticias_filtered/a_critica/venezuelanos/2012/07_ago/html/1.128145_1081.html", "HTML")</f>
        <v/>
      </c>
      <c r="L3426">
        <f>HYPERLINK("https://raw.githubusercontent.com/marcosmapl/dataset_imigrantes/main/noticias_filtered/a_critica/venezuelanos/2012/07_ago/txt/1.128145_1081.txt", "TXT")</f>
        <v/>
      </c>
    </row>
    <row r="3427">
      <c r="A3427" s="1" t="n">
        <v>3425</v>
      </c>
      <c r="B3427" t="n">
        <v>2012</v>
      </c>
      <c r="C3427" s="2" t="n">
        <v>41125.93704861111</v>
      </c>
      <c r="D3427" t="inlineStr">
        <is>
          <t>A CRITICA</t>
        </is>
      </c>
      <c r="E3427" t="inlineStr">
        <is>
          <t>VENEZUELANOS</t>
        </is>
      </c>
      <c r="F3427" t="inlineStr">
        <is>
          <t>MANAUS</t>
        </is>
      </c>
      <c r="G3427" t="inlineStr">
        <is>
          <t>MILTON DE OLIVEIRA</t>
        </is>
      </c>
      <c r="H3427" t="inlineStr">
        <is>
          <t>ESPÉCIES REGIONAIS SÃO POUCO USADAS NA ARBORIZAÇÃO DE MANAUS</t>
        </is>
      </c>
      <c r="I3427" t="inlineStr">
        <is>
          <t>ECÓLOGO AMAZONENSE AVALIA QUE PAISAGISMO EM MANAUS INSISTE, EQUIVOCADAMENTE, EM FUGIR DAS ESPÉCIES REGIONAIS</t>
        </is>
      </c>
      <c r="J3427">
        <f>HYPERLINK("https://www.acritica.com/manaus/especies-regionais-s-o-pouco-usadas-na-arborizac-o-de-manaus-1.128049", "URL")</f>
        <v/>
      </c>
      <c r="K3427">
        <f>HYPERLINK("https://raw.githubusercontent.com/marcosmapl/dataset_imigrantes/main/noticias_filtered/a_critica/venezuelanos/2012/07_ago/html/1.128049_1072.html", "HTML")</f>
        <v/>
      </c>
      <c r="L3427">
        <f>HYPERLINK("https://raw.githubusercontent.com/marcosmapl/dataset_imigrantes/main/noticias_filtered/a_critica/venezuelanos/2012/07_ago/txt/1.128049_1072.txt", "TXT")</f>
        <v/>
      </c>
    </row>
    <row r="3428">
      <c r="A3428" s="1" t="n">
        <v>3426</v>
      </c>
      <c r="B3428" t="n">
        <v>2012</v>
      </c>
      <c r="C3428" s="2" t="n">
        <v>41122.67013888889</v>
      </c>
      <c r="D3428" t="inlineStr">
        <is>
          <t>G1</t>
        </is>
      </c>
      <c r="E3428" t="inlineStr">
        <is>
          <t>VENEZUELANOS</t>
        </is>
      </c>
      <c r="F3428" t="inlineStr"/>
      <c r="G3428" t="inlineStr">
        <is>
          <t>1, EM SÃO PAULO</t>
        </is>
      </c>
      <c r="H3428" t="inlineStr">
        <is>
          <t>PETROBRAS AINDA DISCUTE SOCIEDADE EM REFINARIA COM ESTATAL VENEZUELANA</t>
        </is>
      </c>
      <c r="I3428" t="inlineStr"/>
      <c r="J3428">
        <f>HYPERLINK("http://g1.globo.com/economia/negocios/noticia/2012/08/petrobras-ainda-discute-sociedade-em-refinaria-com-estatal-venezuelana.html", "URL")</f>
        <v/>
      </c>
      <c r="K3428">
        <f>HYPERLINK("https://raw.githubusercontent.com/marcosmapl/dataset_imigrantes/main/noticias_filtered/g1/venezuelanos/2012/07_ago/html/g1_26706028-231a-11ed-b24f-6dbe51e79fca_3319.html", "HTML")</f>
        <v/>
      </c>
      <c r="L3428">
        <f>HYPERLINK("https://raw.githubusercontent.com/marcosmapl/dataset_imigrantes/main/noticias_filtered/g1/venezuelanos/2012/07_ago/txt/g1_26706028-231a-11ed-b24f-6dbe51e79fca_3319.txt", "TXT")</f>
        <v/>
      </c>
    </row>
    <row r="3429">
      <c r="A3429" s="1" t="n">
        <v>3427</v>
      </c>
      <c r="B3429" t="n">
        <v>2012</v>
      </c>
      <c r="C3429" s="2" t="n">
        <v>41121.47699074074</v>
      </c>
      <c r="D3429" t="inlineStr">
        <is>
          <t>A CRITICA</t>
        </is>
      </c>
      <c r="E3429" t="inlineStr">
        <is>
          <t>VENEZUELANOS</t>
        </is>
      </c>
      <c r="F3429" t="inlineStr"/>
      <c r="G3429" t="inlineStr">
        <is>
          <t>RENATA GIRALDI/ AGÊNCIA BRASIL</t>
        </is>
      </c>
      <c r="H3429" t="inlineStr">
        <is>
          <t>VENEZUELA SERÁ INCORPORADA NESTA TERÇA (31) AO MERCOSUL</t>
        </is>
      </c>
      <c r="I3429" t="inlineStr">
        <is>
          <t>A CERIMÔNIA QUE OFICIALIZA O INGRESSO DA VENEZUELA ACONTECERÁ NO PALÁCIO DO PLANALTO (BRASÍLIAS), MAS, NÃO SIGNIFICA QUE O PAÍS SERÁ INTEGRADO IMEDIATAMENTE AO BLOCO. A INCORPORAÇÃO NA PRÁTICA SÓ OCORRERÁ NO DIA 13 DE AGOSTO, QUANDO TODOS OS PRAZOS TIVEREM SIDO CUMPRIDOS, SEGUNDO AS NORMAS DO MERCOSUL</t>
        </is>
      </c>
      <c r="J3429">
        <f>HYPERLINK("https://www.acritica.com/venezuela-sera-incorporada-nesta-terca-31-ao-mercosul-1.134828", "URL")</f>
        <v/>
      </c>
      <c r="K3429">
        <f>HYPERLINK("https://raw.githubusercontent.com/marcosmapl/dataset_imigrantes/main/noticias_filtered/a_critica/venezuelanos/2012/06_jul/html/1.134828_399.html", "HTML")</f>
        <v/>
      </c>
      <c r="L3429">
        <f>HYPERLINK("https://raw.githubusercontent.com/marcosmapl/dataset_imigrantes/main/noticias_filtered/a_critica/venezuelanos/2012/06_jul/txt/1.134828_399.txt", "TXT")</f>
        <v/>
      </c>
    </row>
    <row r="3430">
      <c r="A3430" s="1" t="n">
        <v>3428</v>
      </c>
      <c r="B3430" t="n">
        <v>2012</v>
      </c>
      <c r="C3430" s="2" t="n">
        <v>41106.36597222222</v>
      </c>
      <c r="D3430" t="inlineStr">
        <is>
          <t>G1</t>
        </is>
      </c>
      <c r="E3430" t="inlineStr">
        <is>
          <t>HAITIANOS</t>
        </is>
      </c>
      <c r="F3430" t="inlineStr"/>
      <c r="G3430" t="inlineStr">
        <is>
          <t>1 RS</t>
        </is>
      </c>
      <c r="H3430" t="inlineStr">
        <is>
          <t>HAITIANOS SOFREM COM O FRIO DO RS E GANHAM AGASALHOS DE COLEGAS</t>
        </is>
      </c>
      <c r="I3430" t="inlineStr"/>
      <c r="J3430">
        <f>HYPERLINK("http://g1.globo.com/rs/rio-grande-do-sul/noticia/2012/07/haitianos-sofrem-com-o-frio-do-rs-e-ganham-agasalhos-de-colegas.html", "URL")</f>
        <v/>
      </c>
      <c r="K3430">
        <f>HYPERLINK("https://raw.githubusercontent.com/marcosmapl/dataset_imigrantes/main/noticias_filtered/g1/haitianos/2012/06_jul/html/g1_a6d6027e-22f5-11ed-b24f-6dbe51e79fca_1965.html", "HTML")</f>
        <v/>
      </c>
      <c r="L3430">
        <f>HYPERLINK("https://raw.githubusercontent.com/marcosmapl/dataset_imigrantes/main/noticias_filtered/g1/haitianos/2012/06_jul/txt/g1_a6d6027e-22f5-11ed-b24f-6dbe51e79fca_1965.txt", "TXT")</f>
        <v/>
      </c>
    </row>
    <row r="3431">
      <c r="A3431" s="1" t="n">
        <v>3429</v>
      </c>
      <c r="B3431" t="n">
        <v>2012</v>
      </c>
      <c r="C3431" s="2" t="n">
        <v>41101.06041666667</v>
      </c>
      <c r="D3431" t="inlineStr">
        <is>
          <t>G1</t>
        </is>
      </c>
      <c r="E3431" t="inlineStr">
        <is>
          <t>HAITIANOS</t>
        </is>
      </c>
      <c r="F3431" t="inlineStr"/>
      <c r="G3431" t="inlineStr">
        <is>
          <t>ANDRE HISAYASUSÃO PAULO, SP</t>
        </is>
      </c>
      <c r="H3431" t="inlineStr">
        <is>
          <t>JUSTIÇA DETERMINA QUE MENINO HAITIANO TENHA CIDADANIA BRASILEIRA</t>
        </is>
      </c>
      <c r="I3431" t="inlineStr"/>
      <c r="J3431">
        <f>HYPERLINK("http://g1.globo.com/jornal-da-globo/noticia/2012/07/justica-determina-que-menino-haitiano-tenha-cidadania-brasileira.html", "URL")</f>
        <v/>
      </c>
      <c r="K3431">
        <f>HYPERLINK("https://raw.githubusercontent.com/marcosmapl/dataset_imigrantes/main/noticias_filtered/g1/haitianos/2012/06_jul/html/g1_c778ee6a-2309-11ed-b24f-6dbe51e79fca_2463.html", "HTML")</f>
        <v/>
      </c>
      <c r="L3431">
        <f>HYPERLINK("https://raw.githubusercontent.com/marcosmapl/dataset_imigrantes/main/noticias_filtered/g1/haitianos/2012/06_jul/txt/g1_c778ee6a-2309-11ed-b24f-6dbe51e79fca_2463.txt", "TXT")</f>
        <v/>
      </c>
    </row>
    <row r="3432">
      <c r="A3432" s="1" t="n">
        <v>3430</v>
      </c>
      <c r="B3432" t="n">
        <v>2012</v>
      </c>
      <c r="C3432" s="2" t="n">
        <v>41100.41388888889</v>
      </c>
      <c r="D3432" t="inlineStr">
        <is>
          <t>G1</t>
        </is>
      </c>
      <c r="E3432" t="inlineStr">
        <is>
          <t>HAITIANOS</t>
        </is>
      </c>
      <c r="F3432" t="inlineStr"/>
      <c r="G3432" t="inlineStr">
        <is>
          <t>GÊNCIA ESTADO</t>
        </is>
      </c>
      <c r="H3432" t="inlineStr">
        <is>
          <t>JUSTIÇA MANDA DAR CIDADANIA A HAITIANO VÍTIMA DE TRÁFICO DE PESSOAS</t>
        </is>
      </c>
      <c r="I3432" t="inlineStr"/>
      <c r="J3432">
        <f>HYPERLINK("http://g1.globo.com/sao-paulo/noticia/2012/07/justica-manda-dar-cidadania-haitiano-vitima-de-trafico-de-pessoas.html", "URL")</f>
        <v/>
      </c>
      <c r="K3432">
        <f>HYPERLINK("https://raw.githubusercontent.com/marcosmapl/dataset_imigrantes/main/noticias_filtered/g1/haitianos/2012/06_jul/html/g1_878b17e4-2307-11ed-b24f-6dbe51e79fca_2324.html", "HTML")</f>
        <v/>
      </c>
      <c r="L3432">
        <f>HYPERLINK("https://raw.githubusercontent.com/marcosmapl/dataset_imigrantes/main/noticias_filtered/g1/haitianos/2012/06_jul/txt/g1_878b17e4-2307-11ed-b24f-6dbe51e79fca_2324.txt", "TXT")</f>
        <v/>
      </c>
    </row>
    <row r="3433">
      <c r="A3433" s="1" t="n">
        <v>3431</v>
      </c>
      <c r="B3433" t="n">
        <v>2012</v>
      </c>
      <c r="C3433" s="2" t="n">
        <v>41100.37916666667</v>
      </c>
      <c r="D3433" t="inlineStr">
        <is>
          <t>G1</t>
        </is>
      </c>
      <c r="E3433" t="inlineStr">
        <is>
          <t>HAITIANOS</t>
        </is>
      </c>
      <c r="F3433" t="inlineStr"/>
      <c r="G3433" t="inlineStr">
        <is>
          <t>CIA ESTADO</t>
        </is>
      </c>
      <c r="H3433" t="inlineStr">
        <is>
          <t>JUSTIÇA MANDA DAR CIDADANIA BRASILEIRA A GAROTO HAITIANO</t>
        </is>
      </c>
      <c r="I3433" t="inlineStr"/>
      <c r="J3433">
        <f>HYPERLINK("http://g1.globo.com/brasil/noticia/2012/07/justica-manda-dar-cidadania-brasileira-a-garoto-haitiano.html", "URL")</f>
        <v/>
      </c>
      <c r="K3433">
        <f>HYPERLINK("https://raw.githubusercontent.com/marcosmapl/dataset_imigrantes/main/noticias_filtered/g1/haitianos/2012/06_jul/html/g1_d94a519e-22e9-11ed-b24f-6dbe51e79fca_1646.html", "HTML")</f>
        <v/>
      </c>
      <c r="L3433">
        <f>HYPERLINK("https://raw.githubusercontent.com/marcosmapl/dataset_imigrantes/main/noticias_filtered/g1/haitianos/2012/06_jul/txt/g1_d94a519e-22e9-11ed-b24f-6dbe51e79fca_1646.txt", "TXT")</f>
        <v/>
      </c>
    </row>
    <row r="3434">
      <c r="A3434" s="1" t="n">
        <v>3432</v>
      </c>
      <c r="B3434" t="n">
        <v>2012</v>
      </c>
      <c r="C3434" s="2" t="n">
        <v>41095.86319444444</v>
      </c>
      <c r="D3434" t="inlineStr">
        <is>
          <t>G1</t>
        </is>
      </c>
      <c r="E3434" t="inlineStr">
        <is>
          <t>HAITIANOS</t>
        </is>
      </c>
      <c r="F3434" t="inlineStr"/>
      <c r="G3434" t="inlineStr">
        <is>
          <t>1 RO</t>
        </is>
      </c>
      <c r="H3434" t="inlineStr">
        <is>
          <t>HAITIANO ESTÁ DESAPARECIDO HÁ UMA SEMANA EM PORTO VELHO</t>
        </is>
      </c>
      <c r="I3434" t="inlineStr"/>
      <c r="J3434">
        <f>HYPERLINK("http://g1.globo.com/ro/rondonia/noticia/2012/07/haitiano-esta-desaparecido-ha-uma-semana-em-porto-velho.html", "URL")</f>
        <v/>
      </c>
      <c r="K3434">
        <f>HYPERLINK("https://raw.githubusercontent.com/marcosmapl/dataset_imigrantes/main/noticias_filtered/g1/haitianos/2012/06_jul/html/g1_c8fba5cc-231b-11ed-b24f-6dbe51e79fca_3407.html", "HTML")</f>
        <v/>
      </c>
      <c r="L3434">
        <f>HYPERLINK("https://raw.githubusercontent.com/marcosmapl/dataset_imigrantes/main/noticias_filtered/g1/haitianos/2012/06_jul/txt/g1_c8fba5cc-231b-11ed-b24f-6dbe51e79fca_3407.txt", "TXT")</f>
        <v/>
      </c>
    </row>
    <row r="3435">
      <c r="A3435" s="1" t="n">
        <v>3433</v>
      </c>
      <c r="B3435" t="n">
        <v>2012</v>
      </c>
      <c r="C3435" s="2" t="n">
        <v>41095.79166666666</v>
      </c>
      <c r="D3435" t="inlineStr">
        <is>
          <t>G1</t>
        </is>
      </c>
      <c r="E3435" t="inlineStr">
        <is>
          <t>VENEZUELANOS</t>
        </is>
      </c>
      <c r="F3435" t="inlineStr"/>
      <c r="G3435" t="inlineStr">
        <is>
          <t>CE PRESSE</t>
        </is>
      </c>
      <c r="H3435" t="inlineStr">
        <is>
          <t>EUA: ROMNEY LEMBRA INDEPENDÊNCIA VENEZUELANA E CRITICA CHÁVEZ</t>
        </is>
      </c>
      <c r="I3435" t="inlineStr"/>
      <c r="J3435">
        <f>HYPERLINK("http://g1.globo.com/mundo/noticia/2012/07/eua-romney-lembra-independencia-venezuelana-e-critica-chavez.html", "URL")</f>
        <v/>
      </c>
      <c r="K3435">
        <f>HYPERLINK("https://raw.githubusercontent.com/marcosmapl/dataset_imigrantes/main/noticias_filtered/g1/venezuelanos/2012/06_jul/html/g1_19c42530-2310-11ed-b24f-6dbe51e79fca_2840.html", "HTML")</f>
        <v/>
      </c>
      <c r="L3435">
        <f>HYPERLINK("https://raw.githubusercontent.com/marcosmapl/dataset_imigrantes/main/noticias_filtered/g1/venezuelanos/2012/06_jul/txt/g1_19c42530-2310-11ed-b24f-6dbe51e79fca_2840.txt", "TXT")</f>
        <v/>
      </c>
    </row>
    <row r="3436">
      <c r="A3436" s="1" t="n">
        <v>3434</v>
      </c>
      <c r="B3436" t="n">
        <v>2012</v>
      </c>
      <c r="C3436" s="2" t="n">
        <v>41086.70833333334</v>
      </c>
      <c r="D3436" t="inlineStr">
        <is>
          <t>G1</t>
        </is>
      </c>
      <c r="E3436" t="inlineStr">
        <is>
          <t>VENEZUELANOS</t>
        </is>
      </c>
      <c r="F3436" t="inlineStr"/>
      <c r="G3436" t="inlineStr">
        <is>
          <t>ERS</t>
        </is>
      </c>
      <c r="H3436" t="inlineStr">
        <is>
          <t>TRIBO VENEZUELANA FURIOSA COM PEDRA "SAGRADA" EM BERLIM</t>
        </is>
      </c>
      <c r="I3436" t="inlineStr"/>
      <c r="J3436">
        <f>HYPERLINK("http://g1.globo.com/pop-arte/noticia/2012/06/tribo-venezuelana-furiosa-com-pedra-sagrada-em-berlim.html", "URL")</f>
        <v/>
      </c>
      <c r="K3436">
        <f>HYPERLINK("https://raw.githubusercontent.com/marcosmapl/dataset_imigrantes/main/noticias_filtered/g1/venezuelanos/2012/05_jun/html/g1_0452751c-2329-11ed-b24f-6dbe51e79fca_4095.html", "HTML")</f>
        <v/>
      </c>
      <c r="L3436">
        <f>HYPERLINK("https://raw.githubusercontent.com/marcosmapl/dataset_imigrantes/main/noticias_filtered/g1/venezuelanos/2012/05_jun/txt/g1_0452751c-2329-11ed-b24f-6dbe51e79fca_4095.txt", "TXT")</f>
        <v/>
      </c>
    </row>
    <row r="3437">
      <c r="A3437" s="1" t="n">
        <v>3435</v>
      </c>
      <c r="B3437" t="n">
        <v>2012</v>
      </c>
      <c r="C3437" s="2" t="n">
        <v>41082.81804398148</v>
      </c>
      <c r="D3437" t="inlineStr">
        <is>
          <t>A CRITICA</t>
        </is>
      </c>
      <c r="E3437" t="inlineStr">
        <is>
          <t>VENEZUELANOS</t>
        </is>
      </c>
      <c r="F3437" t="inlineStr">
        <is>
          <t>AMAZONIA</t>
        </is>
      </c>
      <c r="G3437" t="inlineStr">
        <is>
          <t>ACRÍTICA.COM</t>
        </is>
      </c>
      <c r="H3437" t="inlineStr">
        <is>
          <t>COMITÊ BRASIL-VENEZUELA DE APOIO ÀS MULHERES MIGRANTES É INSTALADO NA FRONTEIRA</t>
        </is>
      </c>
      <c r="I3437" t="inlineStr">
        <is>
          <t>COMITÊ VAI POSSIBILITAR UMA ATUAÇÃO MAIS EFETIVA NO ENFRENTAMENTO AO TRÁFICO DE MENINAS E MULHERES NA FRONTEIRA ENTRE OS DOIS PAÍSES</t>
        </is>
      </c>
      <c r="J3437">
        <f>HYPERLINK("https://www.acritica.com/amazonia/comite-brasil-venezuela-de-apoio-as-mulheres-migrantes-e-instalado-na-fronteira-1.137766", "URL")</f>
        <v/>
      </c>
      <c r="K3437">
        <f>HYPERLINK("https://raw.githubusercontent.com/marcosmapl/dataset_imigrantes/main/noticias_filtered/a_critica/venezuelanos/2012/05_jun/html/1.137766_567.html", "HTML")</f>
        <v/>
      </c>
      <c r="L3437">
        <f>HYPERLINK("https://raw.githubusercontent.com/marcosmapl/dataset_imigrantes/main/noticias_filtered/a_critica/venezuelanos/2012/05_jun/txt/1.137766_567.txt", "TXT")</f>
        <v/>
      </c>
    </row>
    <row r="3438">
      <c r="A3438" s="1" t="n">
        <v>3436</v>
      </c>
      <c r="B3438" t="n">
        <v>2012</v>
      </c>
      <c r="C3438" s="2" t="n">
        <v>41081.58168981481</v>
      </c>
      <c r="D3438" t="inlineStr">
        <is>
          <t>A CRITICA</t>
        </is>
      </c>
      <c r="E3438" t="inlineStr">
        <is>
          <t>HAITIANOS</t>
        </is>
      </c>
      <c r="F3438" t="inlineStr">
        <is>
          <t>AMAZONIA</t>
        </is>
      </c>
      <c r="G3438" t="inlineStr">
        <is>
          <t>AGÊNCIA BRASIL</t>
        </is>
      </c>
      <c r="H3438" t="inlineStr">
        <is>
          <t>AJUDA A HAITIANOS CHEGOU AO LIMITE, AFIRMA SECRETÁRIO DE JUSTIÇA DO ACRE</t>
        </is>
      </c>
      <c r="I3438" t="inlineStr">
        <is>
          <t>APÓS DESEMBOLSAR R$ 2 MILHÕES EM AJUDA HUMANITÁRIA, ESTADO NÃO TEM ESTRUTURA PARA RECEBER MAIS 180 HAITIANOS, QUE SE ENCONTRAM EM TERRAS PERUANAS, E SE PREPARAM PARA ENTRAR NO ACRE</t>
        </is>
      </c>
      <c r="J3438">
        <f>HYPERLINK("https://www.acritica.com/amazonia/ajuda-a-haitianos-chegou-ao-limite-afirma-secretario-de-justica-do-acre-1.137619", "URL")</f>
        <v/>
      </c>
      <c r="K3438">
        <f>HYPERLINK("https://raw.githubusercontent.com/marcosmapl/dataset_imigrantes/main/noticias_filtered/a_critica/haitianos/2012/05_jun/html/1.137619_497.html", "HTML")</f>
        <v/>
      </c>
      <c r="L3438">
        <f>HYPERLINK("https://raw.githubusercontent.com/marcosmapl/dataset_imigrantes/main/noticias_filtered/a_critica/haitianos/2012/05_jun/txt/1.137619_497.txt", "TXT")</f>
        <v/>
      </c>
    </row>
    <row r="3439">
      <c r="A3439" s="1" t="n">
        <v>3437</v>
      </c>
      <c r="B3439" t="n">
        <v>2012</v>
      </c>
      <c r="C3439" s="2" t="n">
        <v>41081.30625</v>
      </c>
      <c r="D3439" t="inlineStr">
        <is>
          <t>G1</t>
        </is>
      </c>
      <c r="E3439" t="inlineStr">
        <is>
          <t>HAITIANOS</t>
        </is>
      </c>
      <c r="F3439" t="inlineStr"/>
      <c r="G3439" t="inlineStr"/>
      <c r="H3439" t="inlineStr">
        <is>
          <t>NOVAS REGRAS NÃO IMPEDEM VINDA AO BRASIL DE HAITIANOS SEM VISTOS</t>
        </is>
      </c>
      <c r="I3439" t="inlineStr"/>
      <c r="J3439">
        <f>HYPERLINK("http://g1.globo.com/mundo/noticia/2012/06/novas-regras-nao-impedem-vinda-ao-brasil-de-haitianos-sem-vistos.html", "URL")</f>
        <v/>
      </c>
      <c r="K3439">
        <f>HYPERLINK("https://raw.githubusercontent.com/marcosmapl/dataset_imigrantes/main/noticias_filtered/g1/haitianos/2012/05_jun/html/g1_402342ac-22f6-11ed-b24f-6dbe51e79fca_2003.html", "HTML")</f>
        <v/>
      </c>
      <c r="L3439">
        <f>HYPERLINK("https://raw.githubusercontent.com/marcosmapl/dataset_imigrantes/main/noticias_filtered/g1/haitianos/2012/05_jun/txt/g1_402342ac-22f6-11ed-b24f-6dbe51e79fca_2003.txt", "TXT")</f>
        <v/>
      </c>
    </row>
    <row r="3440">
      <c r="A3440" s="1" t="n">
        <v>3438</v>
      </c>
      <c r="B3440" t="n">
        <v>2012</v>
      </c>
      <c r="C3440" s="2" t="n">
        <v>41076.90833333333</v>
      </c>
      <c r="D3440" t="inlineStr">
        <is>
          <t>G1</t>
        </is>
      </c>
      <c r="E3440" t="inlineStr">
        <is>
          <t>HAITIANOS</t>
        </is>
      </c>
      <c r="F3440" t="inlineStr"/>
      <c r="G3440" t="inlineStr">
        <is>
          <t>OS EDUARDO MATOSDO G1 AM</t>
        </is>
      </c>
      <c r="H3440" t="inlineStr">
        <is>
          <t>HAITIANOS DEIXAM O AMAZONAS EM BUSCA DE EMPREGO PELO BRASIL</t>
        </is>
      </c>
      <c r="I3440" t="inlineStr"/>
      <c r="J3440">
        <f>HYPERLINK("http://g1.globo.com/am/amazonas/noticia/2012/06/haitianos-deixam-o-amazonas-em-busca-de-emprego-pelo-brasil.html", "URL")</f>
        <v/>
      </c>
      <c r="K3440">
        <f>HYPERLINK("https://raw.githubusercontent.com/marcosmapl/dataset_imigrantes/main/noticias_filtered/g1/haitianos/2012/05_jun/html/g1_79c7a758-22f3-11ed-b24f-6dbe51e79fca_1842.html", "HTML")</f>
        <v/>
      </c>
      <c r="L3440">
        <f>HYPERLINK("https://raw.githubusercontent.com/marcosmapl/dataset_imigrantes/main/noticias_filtered/g1/haitianos/2012/05_jun/txt/g1_79c7a758-22f3-11ed-b24f-6dbe51e79fca_1842.txt", "TXT")</f>
        <v/>
      </c>
    </row>
    <row r="3441">
      <c r="A3441" s="1" t="n">
        <v>3439</v>
      </c>
      <c r="B3441" t="n">
        <v>2012</v>
      </c>
      <c r="C3441" s="2" t="n">
        <v>41076.86585648148</v>
      </c>
      <c r="D3441" t="inlineStr">
        <is>
          <t>A CRITICA</t>
        </is>
      </c>
      <c r="E3441" t="inlineStr">
        <is>
          <t>VENEZUELANOS</t>
        </is>
      </c>
      <c r="F3441" t="inlineStr">
        <is>
          <t>MANAUS</t>
        </is>
      </c>
      <c r="G3441" t="inlineStr">
        <is>
          <t>MILTON DE OLIVEIRA</t>
        </is>
      </c>
      <c r="H3441" t="inlineStr">
        <is>
          <t>CENTROS SOCIAIS DE MANAUS ALÉM DE OFERECER LAZER PARA A COMUNIDADE TAMBÉM SÃO FONTES DE SAÚDE</t>
        </is>
      </c>
      <c r="I3441" t="inlineStr">
        <is>
          <t>LOCAIS CONSERVADOS SÃO FONTE DE RECUPERAÇÃO PARA MUITOS. RELATOS DE COORDENADORES DOS CENTROS MOSTRAM QUE OS LUGARES SÃO VERDADEIROS PRESTADORES DE SERVIÇOS À COMUNIDADE</t>
        </is>
      </c>
      <c r="J3441">
        <f>HYPERLINK("https://www.acritica.com/manaus/centros-sociais-de-manaus-alem-de-oferecer-lazer-para-a-comunidade-tambem-s-o-fontes-de-saude-1.137135", "URL")</f>
        <v/>
      </c>
      <c r="K3441">
        <f>HYPERLINK("https://raw.githubusercontent.com/marcosmapl/dataset_imigrantes/main/noticias_filtered/a_critica/venezuelanos/2012/05_jun/html/1.137135_548.html", "HTML")</f>
        <v/>
      </c>
      <c r="L3441">
        <f>HYPERLINK("https://raw.githubusercontent.com/marcosmapl/dataset_imigrantes/main/noticias_filtered/a_critica/venezuelanos/2012/05_jun/txt/1.137135_548.txt", "TXT")</f>
        <v/>
      </c>
    </row>
    <row r="3442">
      <c r="A3442" s="1" t="n">
        <v>3440</v>
      </c>
      <c r="B3442" t="n">
        <v>2012</v>
      </c>
      <c r="C3442" s="2" t="n">
        <v>41074.55598379629</v>
      </c>
      <c r="D3442" t="inlineStr">
        <is>
          <t>A CRITICA</t>
        </is>
      </c>
      <c r="E3442" t="inlineStr">
        <is>
          <t>HAITIANOS</t>
        </is>
      </c>
      <c r="F3442" t="inlineStr">
        <is>
          <t>MANAUS</t>
        </is>
      </c>
      <c r="G3442" t="inlineStr">
        <is>
          <t>CIMONE BARROS</t>
        </is>
      </c>
      <c r="H3442" t="inlineStr">
        <is>
          <t>TRABALHADORES ESTRANGEIROS 'INVADEM' MERCADO DE TRABALHO NO AMAZONAS</t>
        </is>
      </c>
      <c r="I3442" t="inlineStr">
        <is>
          <t>NO PRIMEIRO TRIMESTRE DESTE ANO, O MINISTÉRIO DO TRABALHO E EMPREGO (MTE) CONCEDEU 1.264 AUTORIZAÇÕES DE TRABALHO PARA PROFISSIONAIS ESTRANGEIROS</t>
        </is>
      </c>
      <c r="J3442">
        <f>HYPERLINK("https://www.acritica.com/manaus/trabalhadores-estrangeiros-invadem-mercado-de-trabalho-no-amazonas-1.117941", "URL")</f>
        <v/>
      </c>
      <c r="K3442">
        <f>HYPERLINK("https://raw.githubusercontent.com/marcosmapl/dataset_imigrantes/main/noticias_filtered/a_critica/haitianos/2012/05_jun/html/1.117941_127.html", "HTML")</f>
        <v/>
      </c>
      <c r="L3442">
        <f>HYPERLINK("https://raw.githubusercontent.com/marcosmapl/dataset_imigrantes/main/noticias_filtered/a_critica/haitianos/2012/05_jun/txt/1.117941_127.txt", "TXT")</f>
        <v/>
      </c>
    </row>
    <row r="3443">
      <c r="A3443" s="1" t="n">
        <v>3441</v>
      </c>
      <c r="B3443" t="n">
        <v>2012</v>
      </c>
      <c r="C3443" s="2" t="n">
        <v>41072.87291666667</v>
      </c>
      <c r="D3443" t="inlineStr">
        <is>
          <t>G1</t>
        </is>
      </c>
      <c r="E3443" t="inlineStr">
        <is>
          <t>HAITIANOS</t>
        </is>
      </c>
      <c r="F3443" t="inlineStr"/>
      <c r="G3443" t="inlineStr">
        <is>
          <t>ERS</t>
        </is>
      </c>
      <c r="H3443" t="inlineStr">
        <is>
          <t>NAUFRÁGIO MATA AO MENOS 11 HAITIANOS NA COSTA DAS BAHAMAS</t>
        </is>
      </c>
      <c r="I3443" t="inlineStr"/>
      <c r="J3443">
        <f>HYPERLINK("http://g1.globo.com/mundo/noticia/2012/06/naufragio-mata-ao-menos-11-haitianos-na-costa-das-bahamas.html", "URL")</f>
        <v/>
      </c>
      <c r="K3443">
        <f>HYPERLINK("https://raw.githubusercontent.com/marcosmapl/dataset_imigrantes/main/noticias_filtered/g1/haitianos/2012/05_jun/html/g1_798d52c2-22f5-11ed-b24f-6dbe51e79fca_1952.html", "HTML")</f>
        <v/>
      </c>
      <c r="L3443">
        <f>HYPERLINK("https://raw.githubusercontent.com/marcosmapl/dataset_imigrantes/main/noticias_filtered/g1/haitianos/2012/05_jun/txt/g1_798d52c2-22f5-11ed-b24f-6dbe51e79fca_1952.txt", "TXT")</f>
        <v/>
      </c>
    </row>
    <row r="3444">
      <c r="A3444" s="1" t="n">
        <v>3442</v>
      </c>
      <c r="B3444" t="n">
        <v>2012</v>
      </c>
      <c r="C3444" s="2" t="n">
        <v>41072.72916666666</v>
      </c>
      <c r="D3444" t="inlineStr">
        <is>
          <t>G1</t>
        </is>
      </c>
      <c r="E3444" t="inlineStr">
        <is>
          <t>VENEZUELANOS</t>
        </is>
      </c>
      <c r="F3444" t="inlineStr"/>
      <c r="G3444" t="inlineStr">
        <is>
          <t>CE PRESSE</t>
        </is>
      </c>
      <c r="H3444" t="inlineStr">
        <is>
          <t>INDECISOS NAS ELEIÇÕES VENEZUELANAS TÊM DÚVIDAS SOBRE SAÚDE DE CHÁVEZ</t>
        </is>
      </c>
      <c r="I3444" t="inlineStr"/>
      <c r="J3444">
        <f>HYPERLINK("http://g1.globo.com/mundo/noticia/2012/06/indecisos-nas-eleicoes-venezuelanas-tem-duvidas-sobre-saude-de-chavez.html", "URL")</f>
        <v/>
      </c>
      <c r="K3444">
        <f>HYPERLINK("https://raw.githubusercontent.com/marcosmapl/dataset_imigrantes/main/noticias_filtered/g1/venezuelanos/2012/05_jun/html/g1_7fdc1ccc-230d-11ed-b24f-6dbe51e79fca_2692.html", "HTML")</f>
        <v/>
      </c>
      <c r="L3444">
        <f>HYPERLINK("https://raw.githubusercontent.com/marcosmapl/dataset_imigrantes/main/noticias_filtered/g1/venezuelanos/2012/05_jun/txt/g1_7fdc1ccc-230d-11ed-b24f-6dbe51e79fca_2692.txt", "TXT")</f>
        <v/>
      </c>
    </row>
    <row r="3445">
      <c r="A3445" s="1" t="n">
        <v>3443</v>
      </c>
      <c r="B3445" t="n">
        <v>2012</v>
      </c>
      <c r="C3445" s="2" t="n">
        <v>41072.69791666666</v>
      </c>
      <c r="D3445" t="inlineStr">
        <is>
          <t>G1</t>
        </is>
      </c>
      <c r="E3445" t="inlineStr">
        <is>
          <t>HAITIANOS</t>
        </is>
      </c>
      <c r="F3445" t="inlineStr"/>
      <c r="G3445" t="inlineStr">
        <is>
          <t>CE PRESSE</t>
        </is>
      </c>
      <c r="H3445" t="inlineStr">
        <is>
          <t>ONZE MORTOS E 12 DESAPARECIDOS EM NAUFRÁGIO DE BARCO COM HAITIANOS NAS BAHAMAS</t>
        </is>
      </c>
      <c r="I3445" t="inlineStr"/>
      <c r="J3445">
        <f>HYPERLINK("http://g1.globo.com/mundo/noticia/2012/06/onze-mortos-e-12-desaparecidos-em-naufragio-de-barco-com-haitianos-nas-bahamas.html", "URL")</f>
        <v/>
      </c>
      <c r="K3445">
        <f>HYPERLINK("https://raw.githubusercontent.com/marcosmapl/dataset_imigrantes/main/noticias_filtered/g1/haitianos/2012/05_jun/html/g1_12ad7e8a-22f8-11ed-b24f-6dbe51e79fca_2115.html", "HTML")</f>
        <v/>
      </c>
      <c r="L3445">
        <f>HYPERLINK("https://raw.githubusercontent.com/marcosmapl/dataset_imigrantes/main/noticias_filtered/g1/haitianos/2012/05_jun/txt/g1_12ad7e8a-22f8-11ed-b24f-6dbe51e79fca_2115.txt", "TXT")</f>
        <v/>
      </c>
    </row>
    <row r="3446">
      <c r="A3446" s="1" t="n">
        <v>3444</v>
      </c>
      <c r="B3446" t="n">
        <v>2012</v>
      </c>
      <c r="C3446" s="2" t="n">
        <v>41072.60208333333</v>
      </c>
      <c r="D3446" t="inlineStr">
        <is>
          <t>G1</t>
        </is>
      </c>
      <c r="E3446" t="inlineStr">
        <is>
          <t>HAITIANOS</t>
        </is>
      </c>
      <c r="F3446" t="inlineStr"/>
      <c r="G3446" t="inlineStr">
        <is>
          <t>1, COM AGÊNCIAS  INTERNACIONAIS</t>
        </is>
      </c>
      <c r="H3446" t="inlineStr">
        <is>
          <t>CORPOS DE HAITIANOS SÃO ENCONTRADOS EM EMBARCAÇÃO NAS BAHAMAS</t>
        </is>
      </c>
      <c r="I3446" t="inlineStr"/>
      <c r="J3446">
        <f>HYPERLINK("http://g1.globo.com/mundo/noticia/2012/06/onze-corpos-de-haitianos-encontrados-em-embarcacao-nas-bahamas.html", "URL")</f>
        <v/>
      </c>
      <c r="K3446">
        <f>HYPERLINK("https://raw.githubusercontent.com/marcosmapl/dataset_imigrantes/main/noticias_filtered/g1/haitianos/2012/05_jun/html/g1_c458c16a-22fa-11ed-b24f-6dbe51e79fca_2239.html", "HTML")</f>
        <v/>
      </c>
      <c r="L3446">
        <f>HYPERLINK("https://raw.githubusercontent.com/marcosmapl/dataset_imigrantes/main/noticias_filtered/g1/haitianos/2012/05_jun/txt/g1_c458c16a-22fa-11ed-b24f-6dbe51e79fca_2239.txt", "TXT")</f>
        <v/>
      </c>
    </row>
    <row r="3447">
      <c r="A3447" s="1" t="n">
        <v>3445</v>
      </c>
      <c r="B3447" t="n">
        <v>2012</v>
      </c>
      <c r="C3447" s="2" t="n">
        <v>41071.97916666666</v>
      </c>
      <c r="D3447" t="inlineStr">
        <is>
          <t>G1</t>
        </is>
      </c>
      <c r="E3447" t="inlineStr">
        <is>
          <t>HAITIANOS</t>
        </is>
      </c>
      <c r="F3447" t="inlineStr"/>
      <c r="G3447" t="inlineStr">
        <is>
          <t>CIA EFE</t>
        </is>
      </c>
      <c r="H3447" t="inlineStr">
        <is>
          <t>BARCA COM DESTINO AOS EUA AFUNDA E 11 HAITIANOS MORREM</t>
        </is>
      </c>
      <c r="I3447" t="inlineStr"/>
      <c r="J3447">
        <f>HYPERLINK("http://g1.globo.com/mundo/noticia/2012/06/barca-com-destino-aos-eua-afunda-e-11-haitianos-morrem.html", "URL")</f>
        <v/>
      </c>
      <c r="K3447">
        <f>HYPERLINK("https://raw.githubusercontent.com/marcosmapl/dataset_imigrantes/main/noticias_filtered/g1/haitianos/2012/05_jun/html/g1_816cba0c-22f3-11ed-b24f-6dbe51e79fca_1844.html", "HTML")</f>
        <v/>
      </c>
      <c r="L3447">
        <f>HYPERLINK("https://raw.githubusercontent.com/marcosmapl/dataset_imigrantes/main/noticias_filtered/g1/haitianos/2012/05_jun/txt/g1_816cba0c-22f3-11ed-b24f-6dbe51e79fca_1844.txt", "TXT")</f>
        <v/>
      </c>
    </row>
    <row r="3448">
      <c r="A3448" s="1" t="n">
        <v>3446</v>
      </c>
      <c r="B3448" t="n">
        <v>2012</v>
      </c>
      <c r="C3448" s="2" t="n">
        <v>41070.49583333333</v>
      </c>
      <c r="D3448" t="inlineStr">
        <is>
          <t>G1</t>
        </is>
      </c>
      <c r="E3448" t="inlineStr">
        <is>
          <t>VENEZUELANOS</t>
        </is>
      </c>
      <c r="F3448" t="inlineStr"/>
      <c r="G3448" t="inlineStr">
        <is>
          <t>ERS</t>
        </is>
      </c>
      <c r="H3448" t="inlineStr">
        <is>
          <t>OPOSIÇÃO VENEZUELANA FAZ MANIFESTAÇÃO POR CAPRILES</t>
        </is>
      </c>
      <c r="I3448" t="inlineStr"/>
      <c r="J3448">
        <f>HYPERLINK("http://g1.globo.com/mundo/noticia/2012/06/oposicao-venezuelana-faz-manifestacao-por-capriles.html", "URL")</f>
        <v/>
      </c>
      <c r="K3448">
        <f>HYPERLINK("https://raw.githubusercontent.com/marcosmapl/dataset_imigrantes/main/noticias_filtered/g1/venezuelanos/2012/05_jun/html/g1_1acbfb3a-2309-11ed-b24f-6dbe51e79fca_2426.html", "HTML")</f>
        <v/>
      </c>
      <c r="L3448">
        <f>HYPERLINK("https://raw.githubusercontent.com/marcosmapl/dataset_imigrantes/main/noticias_filtered/g1/venezuelanos/2012/05_jun/txt/g1_1acbfb3a-2309-11ed-b24f-6dbe51e79fca_2426.txt", "TXT")</f>
        <v/>
      </c>
    </row>
    <row r="3449">
      <c r="A3449" s="1" t="n">
        <v>3447</v>
      </c>
      <c r="B3449" t="n">
        <v>2012</v>
      </c>
      <c r="C3449" s="2" t="n">
        <v>41070.49583333333</v>
      </c>
      <c r="D3449" t="inlineStr">
        <is>
          <t>G1</t>
        </is>
      </c>
      <c r="E3449" t="inlineStr">
        <is>
          <t>VENEZUELANOS</t>
        </is>
      </c>
      <c r="F3449" t="inlineStr"/>
      <c r="G3449" t="inlineStr">
        <is>
          <t>ERS</t>
        </is>
      </c>
      <c r="H3449" t="inlineStr">
        <is>
          <t>OPOSIÇÃO VENEZUELANA FAZ MANIFESTAÇÃO POR CAPRILES</t>
        </is>
      </c>
      <c r="I3449" t="inlineStr"/>
      <c r="J3449">
        <f>HYPERLINK("http://g1.globo.com/mundo/noticia/2012/06/oposicao-venezuelana-faz-manifestacao-por-capriles-1.html", "URL")</f>
        <v/>
      </c>
      <c r="K3449">
        <f>HYPERLINK("https://raw.githubusercontent.com/marcosmapl/dataset_imigrantes/main/noticias_filtered/g1/venezuelanos/2012/05_jun/html/g1_1a43e894-2313-11ed-b24f-6dbe51e79fca_2993.html", "HTML")</f>
        <v/>
      </c>
      <c r="L3449">
        <f>HYPERLINK("https://raw.githubusercontent.com/marcosmapl/dataset_imigrantes/main/noticias_filtered/g1/venezuelanos/2012/05_jun/txt/g1_1a43e894-2313-11ed-b24f-6dbe51e79fca_2993.txt", "TXT")</f>
        <v/>
      </c>
    </row>
    <row r="3450">
      <c r="A3450" s="1" t="n">
        <v>3448</v>
      </c>
      <c r="B3450" t="n">
        <v>2012</v>
      </c>
      <c r="C3450" s="2" t="n">
        <v>41066.50613425926</v>
      </c>
      <c r="D3450" t="inlineStr">
        <is>
          <t>A CRITICA</t>
        </is>
      </c>
      <c r="E3450" t="inlineStr">
        <is>
          <t>VENEZUELANOS</t>
        </is>
      </c>
      <c r="F3450" t="inlineStr"/>
      <c r="G3450" t="inlineStr">
        <is>
          <t>CINTHIA GUIMARÃES</t>
        </is>
      </c>
      <c r="H3450" t="inlineStr">
        <is>
          <t>OBRAS DA BR- 174 DEVEM SER CONCLUÍDAS ESTE ANO</t>
        </is>
      </c>
      <c r="I3450" t="inlineStr">
        <is>
          <t>RODOVIA ESTÁ EM BOM ESTADO NO AMAZONAS, MAS TEM PROBLEMAS EM RORAIMA</t>
        </is>
      </c>
      <c r="J3450">
        <f>HYPERLINK("https://www.acritica.com/obras-da-br-174-devem-ser-concluidas-este-ano-1.212602", "URL")</f>
        <v/>
      </c>
      <c r="K3450">
        <f>HYPERLINK("https://raw.githubusercontent.com/marcosmapl/dataset_imigrantes/main/noticias_filtered/a_critica/venezuelanos/2012/05_jun/html/1.212602_1109.html", "HTML")</f>
        <v/>
      </c>
      <c r="L3450">
        <f>HYPERLINK("https://raw.githubusercontent.com/marcosmapl/dataset_imigrantes/main/noticias_filtered/a_critica/venezuelanos/2012/05_jun/txt/1.212602_1109.txt", "TXT")</f>
        <v/>
      </c>
    </row>
    <row r="3451">
      <c r="A3451" s="1" t="n">
        <v>3449</v>
      </c>
      <c r="B3451" t="n">
        <v>2012</v>
      </c>
      <c r="C3451" s="2" t="n">
        <v>41066.41458333333</v>
      </c>
      <c r="D3451" t="inlineStr">
        <is>
          <t>G1</t>
        </is>
      </c>
      <c r="E3451" t="inlineStr">
        <is>
          <t>HAITIANOS</t>
        </is>
      </c>
      <c r="F3451" t="inlineStr"/>
      <c r="G3451" t="inlineStr">
        <is>
          <t>IANE AZAMBUJADO G1 RO</t>
        </is>
      </c>
      <c r="H3451" t="inlineStr">
        <is>
          <t>MAIS DE 800 HAITIANOS MORAM
E TRABALHAM EM PORTO VELHO</t>
        </is>
      </c>
      <c r="I3451" t="inlineStr"/>
      <c r="J3451">
        <f>HYPERLINK("http://g1.globo.com/ro/rondonia/noticia/2012/06/mais-de-800-haitianos-moram-e-trabalham-em-porto-velho.html", "URL")</f>
        <v/>
      </c>
      <c r="K3451">
        <f>HYPERLINK("https://raw.githubusercontent.com/marcosmapl/dataset_imigrantes/main/noticias_filtered/g1/haitianos/2012/05_jun/html/g1_c657e070-22f2-11ed-b24f-6dbe51e79fca_1813.html", "HTML")</f>
        <v/>
      </c>
      <c r="L3451">
        <f>HYPERLINK("https://raw.githubusercontent.com/marcosmapl/dataset_imigrantes/main/noticias_filtered/g1/haitianos/2012/05_jun/txt/g1_c657e070-22f2-11ed-b24f-6dbe51e79fca_1813.txt", "TXT")</f>
        <v/>
      </c>
    </row>
    <row r="3452">
      <c r="A3452" s="1" t="n">
        <v>3450</v>
      </c>
      <c r="B3452" t="n">
        <v>2012</v>
      </c>
      <c r="C3452" s="2" t="n">
        <v>41041.94673611111</v>
      </c>
      <c r="D3452" t="inlineStr">
        <is>
          <t>A CRITICA</t>
        </is>
      </c>
      <c r="E3452" t="inlineStr">
        <is>
          <t>VENEZUELANOS</t>
        </is>
      </c>
      <c r="F3452" t="inlineStr"/>
      <c r="G3452" t="inlineStr">
        <is>
          <t>ANTÔNIO XIMENES</t>
        </is>
      </c>
      <c r="H3452" t="inlineStr">
        <is>
          <t>AVENTURA NA VIDA FRONTEIRIÇA NO PELOTÃO DE CUCUÍ, NA REGIÃO DA TRÍPLICE FRONTEIRA</t>
        </is>
      </c>
      <c r="I3452" t="inlineStr">
        <is>
          <t>JOVENS CASAIS, EXPERIENTES MILITARES E INDÍGENAS SE AJUDAM NA MISSÃO DE GUARNECER UMA DAS REGIÕES MAIS REMOTAS DO PAÍS</t>
        </is>
      </c>
      <c r="J3452">
        <f>HYPERLINK("https://www.acritica.com/aventura-na-vida-fronteirica-no-pelot-o-de-cucui-na-regi-o-da-triplice-fronteira-1.140167", "URL")</f>
        <v/>
      </c>
      <c r="K3452">
        <f>HYPERLINK("https://raw.githubusercontent.com/marcosmapl/dataset_imigrantes/main/noticias_filtered/a_critica/venezuelanos/2012/04_mai/html/1.140167_707.html", "HTML")</f>
        <v/>
      </c>
      <c r="L3452">
        <f>HYPERLINK("https://raw.githubusercontent.com/marcosmapl/dataset_imigrantes/main/noticias_filtered/a_critica/venezuelanos/2012/04_mai/txt/1.140167_707.txt", "TXT")</f>
        <v/>
      </c>
    </row>
    <row r="3453">
      <c r="A3453" s="1" t="n">
        <v>3451</v>
      </c>
      <c r="B3453" t="n">
        <v>2012</v>
      </c>
      <c r="C3453" s="2" t="n">
        <v>41039.80898148148</v>
      </c>
      <c r="D3453" t="inlineStr">
        <is>
          <t>A CRITICA</t>
        </is>
      </c>
      <c r="E3453" t="inlineStr">
        <is>
          <t>VENEZUELANOS</t>
        </is>
      </c>
      <c r="F3453" t="inlineStr">
        <is>
          <t>ENTRETENIMENTO</t>
        </is>
      </c>
      <c r="G3453" t="inlineStr">
        <is>
          <t>UOL/MÚSICA</t>
        </is>
      </c>
      <c r="H3453" t="inlineStr">
        <is>
          <t>JULIO IGLESIAS TEM PERTENCES FURTADOS DE QUARTO DE HOTEL EM CARACAS, NA VENEZUELA</t>
        </is>
      </c>
      <c r="I3453" t="inlineStr">
        <is>
          <t>SEGUNDO O JORNAL EL UNIVERSAL, FORAM FURTADOS DINHEIRO, PASSAPORTE E OUTROS OBJETOS DE VALOR DO CANTOR</t>
        </is>
      </c>
      <c r="J3453">
        <f>HYPERLINK("https://www.acritica.com/entretenimento/julio-iglesias-tem-pertences-furtados-de-quarto-de-hotel-em-caracas-na-venezuela-1.112066", "URL")</f>
        <v/>
      </c>
      <c r="K3453">
        <f>HYPERLINK("https://raw.githubusercontent.com/marcosmapl/dataset_imigrantes/main/noticias_filtered/a_critica/venezuelanos/2012/04_mai/html/1.112066_418.html", "HTML")</f>
        <v/>
      </c>
      <c r="L3453">
        <f>HYPERLINK("https://raw.githubusercontent.com/marcosmapl/dataset_imigrantes/main/noticias_filtered/a_critica/venezuelanos/2012/04_mai/txt/1.112066_418.txt", "TXT")</f>
        <v/>
      </c>
    </row>
    <row r="3454">
      <c r="A3454" s="1" t="n">
        <v>3452</v>
      </c>
      <c r="B3454" t="n">
        <v>2012</v>
      </c>
      <c r="C3454" s="2" t="n">
        <v>41024.85980324074</v>
      </c>
      <c r="D3454" t="inlineStr">
        <is>
          <t>A CRITICA</t>
        </is>
      </c>
      <c r="E3454" t="inlineStr">
        <is>
          <t>HAITIANOS</t>
        </is>
      </c>
      <c r="F3454" t="inlineStr">
        <is>
          <t>ENTRETENIMENTO</t>
        </is>
      </c>
      <c r="G3454" t="inlineStr">
        <is>
          <t>AFP</t>
        </is>
      </c>
      <c r="H3454" t="inlineStr">
        <is>
          <t>JEAN-PAUL GAULTIER E EWAN MCGREGOR NO JÚRI DE CANNES</t>
        </is>
      </c>
      <c r="I3454" t="inlineStr">
        <is>
          <t>O DELEGADO OFICIAL DO FESTIVAL, QUE ACONTECERÁ DE 16 A 27 DE MAIO, TAMBÉM CONFIRMOU AS PRESENÇAS DA ATRIZ FRANCESA EMMANUELLE DEVOS, DA ATRIZ ALEMÃ DIANE KRUGER, DO DIRETOR DE CINEMA HAITIANO RAOUL PECK</t>
        </is>
      </c>
      <c r="J3454">
        <f>HYPERLINK("https://www.acritica.com/entretenimento/jean-paul-gaultier-e-ewan-mcgregor-no-juri-de-cannes-1.160566", "URL")</f>
        <v/>
      </c>
      <c r="K3454">
        <f>HYPERLINK("https://raw.githubusercontent.com/marcosmapl/dataset_imigrantes/main/noticias_filtered/a_critica/haitianos/2012/03_abr/html/1.160566_815.html", "HTML")</f>
        <v/>
      </c>
      <c r="L3454">
        <f>HYPERLINK("https://raw.githubusercontent.com/marcosmapl/dataset_imigrantes/main/noticias_filtered/a_critica/haitianos/2012/03_abr/txt/1.160566_815.txt", "TXT")</f>
        <v/>
      </c>
    </row>
    <row r="3455">
      <c r="A3455" s="1" t="n">
        <v>3453</v>
      </c>
      <c r="B3455" t="n">
        <v>2012</v>
      </c>
      <c r="C3455" s="2" t="n">
        <v>41024.85486111111</v>
      </c>
      <c r="D3455" t="inlineStr">
        <is>
          <t>G1</t>
        </is>
      </c>
      <c r="E3455" t="inlineStr">
        <is>
          <t>HAITIANOS</t>
        </is>
      </c>
      <c r="F3455" t="inlineStr"/>
      <c r="G3455" t="inlineStr">
        <is>
          <t>1 SÃO CARLOS E REGIÃO</t>
        </is>
      </c>
      <c r="H3455" t="inlineStr">
        <is>
          <t>HAITIANOS BUSCAM REERGUER O PAÍS DE ORIGEM ESTUDANDO NA UFSCAR</t>
        </is>
      </c>
      <c r="I3455" t="inlineStr"/>
      <c r="J3455">
        <f>HYPERLINK("http://g1.globo.com/sp/sao-carlos-regiao/noticia/2012/04/haitianos-buscam-reerguer-o-pais-de-origem-estudando-na-ufscar.html", "URL")</f>
        <v/>
      </c>
      <c r="K3455">
        <f>HYPERLINK("https://raw.githubusercontent.com/marcosmapl/dataset_imigrantes/main/noticias_filtered/g1/haitianos/2012/03_abr/html/g1_8eccd6d2-22f3-11ed-b24f-6dbe51e79fca_1846.html", "HTML")</f>
        <v/>
      </c>
      <c r="L3455">
        <f>HYPERLINK("https://raw.githubusercontent.com/marcosmapl/dataset_imigrantes/main/noticias_filtered/g1/haitianos/2012/03_abr/txt/g1_8eccd6d2-22f3-11ed-b24f-6dbe51e79fca_1846.txt", "TXT")</f>
        <v/>
      </c>
    </row>
    <row r="3456">
      <c r="A3456" s="1" t="n">
        <v>3454</v>
      </c>
      <c r="B3456" t="n">
        <v>2012</v>
      </c>
      <c r="C3456" s="2" t="n">
        <v>41023.07815972222</v>
      </c>
      <c r="D3456" t="inlineStr">
        <is>
          <t>A CRITICA</t>
        </is>
      </c>
      <c r="E3456" t="inlineStr">
        <is>
          <t>HAITIANOS</t>
        </is>
      </c>
      <c r="F3456" t="inlineStr">
        <is>
          <t>MANAUS</t>
        </is>
      </c>
      <c r="G3456" t="inlineStr">
        <is>
          <t>PIERO CAÍQUE</t>
        </is>
      </c>
      <c r="H3456" t="inlineStr">
        <is>
          <t>GRUPO DE 60 HAITIANOS É EXPULSO DE IGREJA PENTECOSTAL NA ZONA OESTE DE MANAUS</t>
        </is>
      </c>
      <c r="I3456" t="inlineStr">
        <is>
          <t>A AFIRMAÇÃO PARTIU DO REPRESENTANTE DA ASSOCIAÇÃO DOS TRABALHADORES HAITIANOS DO AMAZONAS (ATHAM), NESTOR NASCIMENTO.</t>
        </is>
      </c>
      <c r="J3456">
        <f>HYPERLINK("https://www.acritica.com/manaus/grupo-de-60-haitianos-e-expulso-de-igreja-pentecostal-na-zona-oeste-de-manaus-1.160231", "URL")</f>
        <v/>
      </c>
      <c r="K3456">
        <f>HYPERLINK("https://raw.githubusercontent.com/marcosmapl/dataset_imigrantes/main/noticias_filtered/a_critica/haitianos/2012/03_abr/html/1.160231_956.html", "HTML")</f>
        <v/>
      </c>
      <c r="L3456">
        <f>HYPERLINK("https://raw.githubusercontent.com/marcosmapl/dataset_imigrantes/main/noticias_filtered/a_critica/haitianos/2012/03_abr/txt/1.160231_956.txt", "TXT")</f>
        <v/>
      </c>
    </row>
    <row r="3457">
      <c r="A3457" s="1" t="n">
        <v>3455</v>
      </c>
      <c r="B3457" t="n">
        <v>2012</v>
      </c>
      <c r="C3457" s="2" t="n">
        <v>41022.79226851852</v>
      </c>
      <c r="D3457" t="inlineStr">
        <is>
          <t>A CRITICA</t>
        </is>
      </c>
      <c r="E3457" t="inlineStr">
        <is>
          <t>HAITIANOS</t>
        </is>
      </c>
      <c r="F3457" t="inlineStr">
        <is>
          <t>ENTRETENIMENTO</t>
        </is>
      </c>
      <c r="G3457" t="inlineStr">
        <is>
          <t>THIAGO GONÇALVES</t>
        </is>
      </c>
      <c r="H3457" t="inlineStr">
        <is>
          <t>HAITIANOS ANIMAM NOITE DE DOMINGO COM EVENTO INÉDITO EM MANAUS</t>
        </is>
      </c>
      <c r="I3457" t="inlineStr">
        <is>
          <t>NO INÍCIO DA APRESENTAÇÃO, BOA PARTE DO PÚBLICO DE IMIGRANTES PERMANECEU FORA DO LOCAL DO EVENTO, JÁ QUE NÃO CONSEGUIU COMPRAR INGRESSO NO VALOR DE R$ 5. APÓS O PRIMEIRO SHOW A ENTRADA FOI LIBERADA E TODOS PUDERAM COMEMORAR JUNTOS</t>
        </is>
      </c>
      <c r="J3457">
        <f>HYPERLINK("https://www.acritica.com/entretenimento/haitianos-animam-noite-de-domingo-com-evento-inedito-em-manaus-1.110200", "URL")</f>
        <v/>
      </c>
      <c r="K3457">
        <f>HYPERLINK("https://raw.githubusercontent.com/marcosmapl/dataset_imigrantes/main/noticias_filtered/a_critica/haitianos/2012/03_abr/html/1.110200_266.html", "HTML")</f>
        <v/>
      </c>
      <c r="L3457">
        <f>HYPERLINK("https://raw.githubusercontent.com/marcosmapl/dataset_imigrantes/main/noticias_filtered/a_critica/haitianos/2012/03_abr/txt/1.110200_266.txt", "TXT")</f>
        <v/>
      </c>
    </row>
    <row r="3458">
      <c r="A3458" s="1" t="n">
        <v>3456</v>
      </c>
      <c r="B3458" t="n">
        <v>2012</v>
      </c>
      <c r="C3458" s="2" t="n">
        <v>41021.91986111111</v>
      </c>
      <c r="D3458" t="inlineStr">
        <is>
          <t>A CRITICA</t>
        </is>
      </c>
      <c r="E3458" t="inlineStr">
        <is>
          <t>HAITIANOS</t>
        </is>
      </c>
      <c r="F3458" t="inlineStr">
        <is>
          <t>MANAUS</t>
        </is>
      </c>
      <c r="G3458" t="inlineStr">
        <is>
          <t>THIAGO GONÇALVES</t>
        </is>
      </c>
      <c r="H3458" t="inlineStr">
        <is>
          <t>HAITIANOS FARÃO MUSICAL INÉDITO NESTE DOMINGO EM MANAUS</t>
        </is>
      </c>
      <c r="I3458" t="inlineStr">
        <is>
          <t>ALÉM DE APRESENTAÇÃO MUSICAL IMIGRANTES VÃO COMERCIALIZAR COMIDAS TÍPICAS DO HAITI, NO GINÁSIO DA PARÓQUIA DE SÃO GERALDO, NA ZONA CENTRO-SUL DE MANAUS</t>
        </is>
      </c>
      <c r="J3458">
        <f>HYPERLINK("https://www.acritica.com/manaus/haitianos-far-o-musical-inedito-neste-domingo-em-manaus-1.110240", "URL")</f>
        <v/>
      </c>
      <c r="K3458">
        <f>HYPERLINK("https://raw.githubusercontent.com/marcosmapl/dataset_imigrantes/main/noticias_filtered/a_critica/haitianos/2012/03_abr/html/1.110240_905.html", "HTML")</f>
        <v/>
      </c>
      <c r="L3458">
        <f>HYPERLINK("https://raw.githubusercontent.com/marcosmapl/dataset_imigrantes/main/noticias_filtered/a_critica/haitianos/2012/03_abr/txt/1.110240_905.txt", "TXT")</f>
        <v/>
      </c>
    </row>
    <row r="3459">
      <c r="A3459" s="1" t="n">
        <v>3457</v>
      </c>
      <c r="B3459" t="n">
        <v>2012</v>
      </c>
      <c r="C3459" s="2" t="n">
        <v>41020.99870370371</v>
      </c>
      <c r="D3459" t="inlineStr">
        <is>
          <t>A CRITICA</t>
        </is>
      </c>
      <c r="E3459" t="inlineStr">
        <is>
          <t>HAITIANOS</t>
        </is>
      </c>
      <c r="F3459" t="inlineStr">
        <is>
          <t>MANAUS</t>
        </is>
      </c>
      <c r="G3459" t="inlineStr">
        <is>
          <t>ACRÍTICA.COM</t>
        </is>
      </c>
      <c r="H3459" t="inlineStr">
        <is>
          <t>GRUPO COM MAIS DE 120 HAITIANOS CHEGA A MANAUS NESTE SÁBADO (21)</t>
        </is>
      </c>
      <c r="I3459" t="inlineStr">
        <is>
          <t>OS HAITIANOS FORAM SUBMETIDOS A UM CADASTRO DE CONTROLE E SERÃO DIVIDIDOS ENTRE A PARÓQUIA DE SÃO GERALDO E ABRIGOS ESPALHADOS PELA CIDADE</t>
        </is>
      </c>
      <c r="J3459">
        <f>HYPERLINK("https://www.acritica.com/manaus/grupo-com-mais-de-120-haitianos-chega-a-manaus-neste-sabado-21-1.109445", "URL")</f>
        <v/>
      </c>
      <c r="K3459">
        <f>HYPERLINK("https://raw.githubusercontent.com/marcosmapl/dataset_imigrantes/main/noticias_filtered/a_critica/haitianos/2012/03_abr/html/1.109445_354.html", "HTML")</f>
        <v/>
      </c>
      <c r="L3459">
        <f>HYPERLINK("https://raw.githubusercontent.com/marcosmapl/dataset_imigrantes/main/noticias_filtered/a_critica/haitianos/2012/03_abr/txt/1.109445_354.txt", "TXT")</f>
        <v/>
      </c>
    </row>
    <row r="3460">
      <c r="A3460" s="1" t="n">
        <v>3458</v>
      </c>
      <c r="B3460" t="n">
        <v>2012</v>
      </c>
      <c r="C3460" s="2" t="n">
        <v>41020.81501157407</v>
      </c>
      <c r="D3460" t="inlineStr">
        <is>
          <t>A CRITICA</t>
        </is>
      </c>
      <c r="E3460" t="inlineStr">
        <is>
          <t>VENEZUELANOS</t>
        </is>
      </c>
      <c r="F3460" t="inlineStr">
        <is>
          <t>ESPORTES</t>
        </is>
      </c>
      <c r="G3460" t="inlineStr">
        <is>
          <t>UOL/ ESPORTE</t>
        </is>
      </c>
      <c r="H3460" t="inlineStr">
        <is>
          <t>VETTEL SE RECUPERA E CONQUISTA 1ª POLE DO ANO; MASSA LARGA EM 14º NO BAHREIN</t>
        </is>
      </c>
      <c r="I3460" t="inlineStr">
        <is>
          <t>APÓS PASSAR EM BRANCO NAS TRÊS PROVAS ANTERIORES, O ALEMÃO MOSTROU QUE ESTÁ NO PÁREO E OBTEVE A POLE POSITION PARA O GP DO BAHREIN</t>
        </is>
      </c>
      <c r="J3460">
        <f>HYPERLINK("https://www.acritica.com/esportes/vettel-se-recupera-e-conquista-1-pole-do-ano-massa-larga-em-14-no-bahrein-1.160308", "URL")</f>
        <v/>
      </c>
      <c r="K3460">
        <f>HYPERLINK("https://raw.githubusercontent.com/marcosmapl/dataset_imigrantes/main/noticias_filtered/a_critica/venezuelanos/2012/03_abr/html/1.160308_1177.html", "HTML")</f>
        <v/>
      </c>
      <c r="L3460">
        <f>HYPERLINK("https://raw.githubusercontent.com/marcosmapl/dataset_imigrantes/main/noticias_filtered/a_critica/venezuelanos/2012/03_abr/txt/1.160308_1177.txt", "TXT")</f>
        <v/>
      </c>
    </row>
    <row r="3461">
      <c r="A3461" s="1" t="n">
        <v>3459</v>
      </c>
      <c r="B3461" t="n">
        <v>2012</v>
      </c>
      <c r="C3461" s="2" t="n">
        <v>41017.96319444444</v>
      </c>
      <c r="D3461" t="inlineStr">
        <is>
          <t>G1</t>
        </is>
      </c>
      <c r="E3461" t="inlineStr">
        <is>
          <t>HAITIANOS</t>
        </is>
      </c>
      <c r="F3461" t="inlineStr"/>
      <c r="G3461" t="inlineStr">
        <is>
          <t>1 RS, COM INFORMAÇÕES DA RBS TV</t>
        </is>
      </c>
      <c r="H3461" t="inlineStr">
        <is>
          <t>APÓS TEREM PAPÉIS RETIDOS NO RS, HAITIANOS GANHAM NOVOS EMPREGOS</t>
        </is>
      </c>
      <c r="I3461" t="inlineStr"/>
      <c r="J3461">
        <f>HYPERLINK("http://g1.globo.com/rs/rio-grande-do-sul/noticia/2012/04/apos-terem-papeis-retidos-no-rs-haitianos-ganham-novos-empregos.html", "URL")</f>
        <v/>
      </c>
      <c r="K3461">
        <f>HYPERLINK("https://raw.githubusercontent.com/marcosmapl/dataset_imigrantes/main/noticias_filtered/g1/haitianos/2012/03_abr/html/g1_ae01b420-22f6-11ed-b24f-6dbe51e79fca_2029.html", "HTML")</f>
        <v/>
      </c>
      <c r="L3461">
        <f>HYPERLINK("https://raw.githubusercontent.com/marcosmapl/dataset_imigrantes/main/noticias_filtered/g1/haitianos/2012/03_abr/txt/g1_ae01b420-22f6-11ed-b24f-6dbe51e79fca_2029.txt", "TXT")</f>
        <v/>
      </c>
    </row>
    <row r="3462">
      <c r="A3462" s="1" t="n">
        <v>3460</v>
      </c>
      <c r="B3462" t="n">
        <v>2012</v>
      </c>
      <c r="C3462" s="2" t="n">
        <v>41017.81666666667</v>
      </c>
      <c r="D3462" t="inlineStr">
        <is>
          <t>G1</t>
        </is>
      </c>
      <c r="E3462" t="inlineStr">
        <is>
          <t>VENEZUELANOS</t>
        </is>
      </c>
      <c r="F3462" t="inlineStr"/>
      <c r="G3462" t="inlineStr">
        <is>
          <t>CE PRESSE</t>
        </is>
      </c>
      <c r="H3462" t="inlineStr">
        <is>
          <t>EUA: JUIZ ENVOLVE AUTORIDADES VENEZUELANAS NO NARCOTRÁFICO</t>
        </is>
      </c>
      <c r="I3462" t="inlineStr"/>
      <c r="J3462">
        <f>HYPERLINK("http://g1.globo.com/mundo/noticia/2012/04/eua-juiz-envolve-autoridades-venezuelanas-no-narcotrafico.html", "URL")</f>
        <v/>
      </c>
      <c r="K3462">
        <f>HYPERLINK("https://raw.githubusercontent.com/marcosmapl/dataset_imigrantes/main/noticias_filtered/g1/venezuelanos/2012/03_abr/html/g1_c15a9a80-2325-11ed-b24f-6dbe51e79fca_3933.html", "HTML")</f>
        <v/>
      </c>
      <c r="L3462">
        <f>HYPERLINK("https://raw.githubusercontent.com/marcosmapl/dataset_imigrantes/main/noticias_filtered/g1/venezuelanos/2012/03_abr/txt/g1_c15a9a80-2325-11ed-b24f-6dbe51e79fca_3933.txt", "TXT")</f>
        <v/>
      </c>
    </row>
    <row r="3463">
      <c r="A3463" s="1" t="n">
        <v>3461</v>
      </c>
      <c r="B3463" t="n">
        <v>2012</v>
      </c>
      <c r="C3463" s="2" t="n">
        <v>41016.79583333333</v>
      </c>
      <c r="D3463" t="inlineStr">
        <is>
          <t>G1</t>
        </is>
      </c>
      <c r="E3463" t="inlineStr">
        <is>
          <t>HAITIANOS</t>
        </is>
      </c>
      <c r="F3463" t="inlineStr"/>
      <c r="G3463" t="inlineStr">
        <is>
          <t>CE PRESSE</t>
        </is>
      </c>
      <c r="H3463" t="inlineStr">
        <is>
          <t>PRESIDENTE HAITIANO MARTELLY SOFRE EMBOLIA PULMONAR</t>
        </is>
      </c>
      <c r="I3463" t="inlineStr"/>
      <c r="J3463">
        <f>HYPERLINK("http://g1.globo.com/mundo/noticia/2012/04/presidente-haitiano-martelly-sofre-embolia-pulmonar.html", "URL")</f>
        <v/>
      </c>
      <c r="K3463">
        <f>HYPERLINK("https://raw.githubusercontent.com/marcosmapl/dataset_imigrantes/main/noticias_filtered/g1/haitianos/2012/03_abr/html/g1_d87717f0-2309-11ed-b24f-6dbe51e79fca_2468.html", "HTML")</f>
        <v/>
      </c>
      <c r="L3463">
        <f>HYPERLINK("https://raw.githubusercontent.com/marcosmapl/dataset_imigrantes/main/noticias_filtered/g1/haitianos/2012/03_abr/txt/g1_d87717f0-2309-11ed-b24f-6dbe51e79fca_2468.txt", "TXT")</f>
        <v/>
      </c>
    </row>
    <row r="3464">
      <c r="A3464" s="1" t="n">
        <v>3462</v>
      </c>
      <c r="B3464" t="n">
        <v>2012</v>
      </c>
      <c r="C3464" s="2" t="n">
        <v>41012.73799768519</v>
      </c>
      <c r="D3464" t="inlineStr">
        <is>
          <t>A CRITICA</t>
        </is>
      </c>
      <c r="E3464" t="inlineStr">
        <is>
          <t>HAITIANOS</t>
        </is>
      </c>
      <c r="F3464" t="inlineStr">
        <is>
          <t>ENTRETENIMENTO</t>
        </is>
      </c>
      <c r="G3464" t="inlineStr">
        <is>
          <t>ACRÍTICA.COM</t>
        </is>
      </c>
      <c r="H3464" t="inlineStr">
        <is>
          <t>DO PAGODE AO ROCK E DESFILE DE COSPLAY: MUITAS OPÇÕES DE DIVERSÃO PARA ESTE FIM DE SEMANA</t>
        </is>
      </c>
      <c r="I3464" t="inlineStr">
        <is>
          <t>SAIBA ONDE ENCONTRAR A BALADA PERFEITA NA AGENDA CULTURAL</t>
        </is>
      </c>
      <c r="J3464">
        <f>HYPERLINK("https://www.acritica.com/entretenimento/do-pagode-ao-rock-e-desfile-de-cosplay-muitas-opc-es-de-divers-o-para-este-fim-de-semana-1.159775", "URL")</f>
        <v/>
      </c>
      <c r="K3464">
        <f>HYPERLINK("https://raw.githubusercontent.com/marcosmapl/dataset_imigrantes/main/noticias_filtered/a_critica/haitianos/2012/03_abr/html/1.159775_921.html", "HTML")</f>
        <v/>
      </c>
      <c r="L3464">
        <f>HYPERLINK("https://raw.githubusercontent.com/marcosmapl/dataset_imigrantes/main/noticias_filtered/a_critica/haitianos/2012/03_abr/txt/1.159775_921.txt", "TXT")</f>
        <v/>
      </c>
    </row>
    <row r="3465">
      <c r="A3465" s="1" t="n">
        <v>3463</v>
      </c>
      <c r="B3465" t="n">
        <v>2012</v>
      </c>
      <c r="C3465" s="2" t="n">
        <v>41009.575</v>
      </c>
      <c r="D3465" t="inlineStr">
        <is>
          <t>G1</t>
        </is>
      </c>
      <c r="E3465" t="inlineStr">
        <is>
          <t>HAITIANOS</t>
        </is>
      </c>
      <c r="F3465" t="inlineStr"/>
      <c r="G3465" t="inlineStr"/>
      <c r="H3465" t="inlineStr">
        <is>
          <t>IMIGRANTES HAITIANOS ENTRAM NO BRASIL APÓS TRÊS MESES DE ESPERA</t>
        </is>
      </c>
      <c r="I3465" t="inlineStr"/>
      <c r="J3465">
        <f>HYPERLINK("http://g1.globo.com/mundo/noticia/2012/04/imigrantes-haitianos-entram-no-brasil-apos-tres-meses-de-espera.html", "URL")</f>
        <v/>
      </c>
      <c r="K3465">
        <f>HYPERLINK("https://raw.githubusercontent.com/marcosmapl/dataset_imigrantes/main/noticias_filtered/g1/haitianos/2012/03_abr/html/g1_506e37ac-22f6-11ed-b24f-6dbe51e79fca_2006.html", "HTML")</f>
        <v/>
      </c>
      <c r="L3465">
        <f>HYPERLINK("https://raw.githubusercontent.com/marcosmapl/dataset_imigrantes/main/noticias_filtered/g1/haitianos/2012/03_abr/txt/g1_506e37ac-22f6-11ed-b24f-6dbe51e79fca_2006.txt", "TXT")</f>
        <v/>
      </c>
    </row>
    <row r="3466">
      <c r="A3466" s="1" t="n">
        <v>3464</v>
      </c>
      <c r="B3466" t="n">
        <v>2012</v>
      </c>
      <c r="C3466" s="2" t="n">
        <v>41008.8875</v>
      </c>
      <c r="D3466" t="inlineStr">
        <is>
          <t>G1</t>
        </is>
      </c>
      <c r="E3466" t="inlineStr">
        <is>
          <t>HAITIANOS</t>
        </is>
      </c>
      <c r="F3466" t="inlineStr"/>
      <c r="G3466" t="inlineStr"/>
      <c r="H3466" t="inlineStr">
        <is>
          <t>JUSTIÇA AUTORIZA ENTRADA DE 245 IMIGRANTES HAITIANOS NO BRASIL</t>
        </is>
      </c>
      <c r="I3466" t="inlineStr"/>
      <c r="J3466">
        <f>HYPERLINK("http://g1.globo.com/jornal-nacional/noticia/2012/04/justica-autoriza-entrada-de-245-imigrantes-haitianos-no-brasil.html", "URL")</f>
        <v/>
      </c>
      <c r="K3466">
        <f>HYPERLINK("https://raw.githubusercontent.com/marcosmapl/dataset_imigrantes/main/noticias_filtered/g1/haitianos/2012/03_abr/html/g1_aebd10c8-22f9-11ed-b24f-6dbe51e79fca_2178.html", "HTML")</f>
        <v/>
      </c>
      <c r="L3466">
        <f>HYPERLINK("https://raw.githubusercontent.com/marcosmapl/dataset_imigrantes/main/noticias_filtered/g1/haitianos/2012/03_abr/txt/g1_aebd10c8-22f9-11ed-b24f-6dbe51e79fca_2178.txt", "TXT")</f>
        <v/>
      </c>
    </row>
    <row r="3467">
      <c r="A3467" s="1" t="n">
        <v>3465</v>
      </c>
      <c r="B3467" t="n">
        <v>2012</v>
      </c>
      <c r="C3467" s="2" t="n">
        <v>41007.59166666667</v>
      </c>
      <c r="D3467" t="inlineStr">
        <is>
          <t>G1</t>
        </is>
      </c>
      <c r="E3467" t="inlineStr">
        <is>
          <t>HAITIANOS</t>
        </is>
      </c>
      <c r="F3467" t="inlineStr"/>
      <c r="G3467" t="inlineStr">
        <is>
          <t>RANCE PRESSE</t>
        </is>
      </c>
      <c r="H3467" t="inlineStr">
        <is>
          <t>DESMORONAMENTO DE LOCAL DE CULTO EVANGÉLICO MATA UM NA FRANÇA</t>
        </is>
      </c>
      <c r="I3467" t="inlineStr"/>
      <c r="J3467">
        <f>HYPERLINK("http://g1.globo.com/mundo/noticia/2012/04/desmoronamento-de-local-de-culto-evangelico-mata-um-na-franca.html", "URL")</f>
        <v/>
      </c>
      <c r="K3467">
        <f>HYPERLINK("https://raw.githubusercontent.com/marcosmapl/dataset_imigrantes/main/noticias_filtered/g1/haitianos/2012/03_abr/html/g1_c095da3c-231c-11ed-b24f-6dbe51e79fca_3462.html", "HTML")</f>
        <v/>
      </c>
      <c r="L3467">
        <f>HYPERLINK("https://raw.githubusercontent.com/marcosmapl/dataset_imigrantes/main/noticias_filtered/g1/haitianos/2012/03_abr/txt/g1_c095da3c-231c-11ed-b24f-6dbe51e79fca_3462.txt", "TXT")</f>
        <v/>
      </c>
    </row>
    <row r="3468">
      <c r="A3468" s="1" t="n">
        <v>3466</v>
      </c>
      <c r="B3468" t="n">
        <v>2012</v>
      </c>
      <c r="C3468" s="2" t="n">
        <v>41006.54791666667</v>
      </c>
      <c r="D3468" t="inlineStr">
        <is>
          <t>G1</t>
        </is>
      </c>
      <c r="E3468" t="inlineStr">
        <is>
          <t>HAITIANOS</t>
        </is>
      </c>
      <c r="F3468" t="inlineStr"/>
      <c r="G3468" t="inlineStr">
        <is>
          <t>1 AM</t>
        </is>
      </c>
      <c r="H3468" t="inlineStr">
        <is>
          <t>GOVERNO DIZ QUE VAI REGULARIZAR MAIS 363 HAITIANOS QUE VIVEM NO AM</t>
        </is>
      </c>
      <c r="I3468" t="inlineStr"/>
      <c r="J3468">
        <f>HYPERLINK("http://g1.globo.com/am/amazonas/noticia/2012/04/governo-diz-que-vai-regularizar-363-haitianos-que-vivem-no-amazonas.html", "URL")</f>
        <v/>
      </c>
      <c r="K3468">
        <f>HYPERLINK("https://raw.githubusercontent.com/marcosmapl/dataset_imigrantes/main/noticias_filtered/g1/haitianos/2012/03_abr/html/g1_b1af82a6-22fa-11ed-b24f-6dbe51e79fca_2235.html", "HTML")</f>
        <v/>
      </c>
      <c r="L3468">
        <f>HYPERLINK("https://raw.githubusercontent.com/marcosmapl/dataset_imigrantes/main/noticias_filtered/g1/haitianos/2012/03_abr/txt/g1_b1af82a6-22fa-11ed-b24f-6dbe51e79fca_2235.txt", "TXT")</f>
        <v/>
      </c>
    </row>
    <row r="3469">
      <c r="A3469" s="1" t="n">
        <v>3467</v>
      </c>
      <c r="B3469" t="n">
        <v>2012</v>
      </c>
      <c r="C3469" s="2" t="n">
        <v>41005.82327546296</v>
      </c>
      <c r="D3469" t="inlineStr">
        <is>
          <t>A CRITICA</t>
        </is>
      </c>
      <c r="E3469" t="inlineStr">
        <is>
          <t>HAITIANOS</t>
        </is>
      </c>
      <c r="F3469" t="inlineStr"/>
      <c r="G3469" t="inlineStr">
        <is>
          <t>LOURENÇO CANUTO/AGÊNCIA BRASIL</t>
        </is>
      </c>
      <c r="H3469" t="inlineStr">
        <is>
          <t>HAITIANOS QUE ESTÃO NO PERU VÃO ENTRAR NO BRASIL EM GRUPOS A PARTIR DA PRÓXIMA SEMANA</t>
        </is>
      </c>
      <c r="I3469" t="inlineStr">
        <is>
          <t>MAIS 363 HAITIANOS QUE ESTÃO EM SITUAÇÃO IRREGULAR EM TABATINGA, NO AMAZONAS, AINDA VÃO RECEBER VISTO PARA PROCURAR TRABALHO EM OUTRAS REGIÕES, INFORMOU O MINISTÉRIO DA JUSTIÇA</t>
        </is>
      </c>
      <c r="J3469">
        <f>HYPERLINK("https://www.acritica.com/haitianos-que-est-o-no-peru-v-o-entrar-no-brasil-em-grupos-a-partir-da-proxima-semana-1.110520", "URL")</f>
        <v/>
      </c>
      <c r="K3469">
        <f>HYPERLINK("https://raw.githubusercontent.com/marcosmapl/dataset_imigrantes/main/noticias_filtered/a_critica/haitianos/2012/03_abr/html/1.110520_1312.html", "HTML")</f>
        <v/>
      </c>
      <c r="L3469">
        <f>HYPERLINK("https://raw.githubusercontent.com/marcosmapl/dataset_imigrantes/main/noticias_filtered/a_critica/haitianos/2012/03_abr/txt/1.110520_1312.txt", "TXT")</f>
        <v/>
      </c>
    </row>
    <row r="3470">
      <c r="A3470" s="1" t="n">
        <v>3468</v>
      </c>
      <c r="B3470" t="n">
        <v>2012</v>
      </c>
      <c r="C3470" s="2" t="n">
        <v>41005.80625</v>
      </c>
      <c r="D3470" t="inlineStr">
        <is>
          <t>G1</t>
        </is>
      </c>
      <c r="E3470" t="inlineStr">
        <is>
          <t>HAITIANOS</t>
        </is>
      </c>
      <c r="F3470" t="inlineStr"/>
      <c r="G3470" t="inlineStr">
        <is>
          <t>CE PRESSE</t>
        </is>
      </c>
      <c r="H3470" t="inlineStr">
        <is>
          <t>HAITIANA AFIRMA TER PERDIDO BILHETE PREMIADO DA MEGA MILLION</t>
        </is>
      </c>
      <c r="I3470" t="inlineStr"/>
      <c r="J3470">
        <f>HYPERLINK("http://g1.globo.com/mundo/noticia/2012/04/haitiana-afirma-ter-perdido-bilhete-premiado-da-mega-million.html", "URL")</f>
        <v/>
      </c>
      <c r="K3470">
        <f>HYPERLINK("https://raw.githubusercontent.com/marcosmapl/dataset_imigrantes/main/noticias_filtered/g1/haitianos/2012/03_abr/html/g1_2377671c-22ee-11ed-b24f-6dbe51e79fca_1700.html", "HTML")</f>
        <v/>
      </c>
      <c r="L3470">
        <f>HYPERLINK("https://raw.githubusercontent.com/marcosmapl/dataset_imigrantes/main/noticias_filtered/g1/haitianos/2012/03_abr/txt/g1_2377671c-22ee-11ed-b24f-6dbe51e79fca_1700.txt", "TXT")</f>
        <v/>
      </c>
    </row>
    <row r="3471">
      <c r="A3471" s="1" t="n">
        <v>3469</v>
      </c>
      <c r="B3471" t="n">
        <v>2012</v>
      </c>
      <c r="C3471" s="2" t="n">
        <v>41005.48541666667</v>
      </c>
      <c r="D3471" t="inlineStr">
        <is>
          <t>G1</t>
        </is>
      </c>
      <c r="E3471" t="inlineStr">
        <is>
          <t>HAITIANOS</t>
        </is>
      </c>
      <c r="F3471" t="inlineStr"/>
      <c r="G3471" t="inlineStr"/>
      <c r="H3471" t="inlineStr">
        <is>
          <t>SECRETÁRIO DE JUSTIÇA DIZ QUE HAITIANOS NO PERU JÁ PODEM ENTRAR NO BRASIL, MAS GRUPO É BARRADO</t>
        </is>
      </c>
      <c r="I3471" t="inlineStr"/>
      <c r="J3471">
        <f>HYPERLINK("http://g1.globo.com/brasil/noticia/2012/04/secretario-de-justica-diz-que-haitianos-no-peru-ja-podem-entrar-no-brasil-mas-grupo-e-barrado-1.html", "URL")</f>
        <v/>
      </c>
      <c r="K3471">
        <f>HYPERLINK("https://raw.githubusercontent.com/marcosmapl/dataset_imigrantes/main/noticias_filtered/g1/haitianos/2012/03_abr/html/g1_a47643c8-2317-11ed-b24f-6dbe51e79fca_3221.html", "HTML")</f>
        <v/>
      </c>
      <c r="L3471">
        <f>HYPERLINK("https://raw.githubusercontent.com/marcosmapl/dataset_imigrantes/main/noticias_filtered/g1/haitianos/2012/03_abr/txt/g1_a47643c8-2317-11ed-b24f-6dbe51e79fca_3221.txt", "TXT")</f>
        <v/>
      </c>
    </row>
    <row r="3472">
      <c r="A3472" s="1" t="n">
        <v>3470</v>
      </c>
      <c r="B3472" t="n">
        <v>2012</v>
      </c>
      <c r="C3472" s="2" t="n">
        <v>41003.58125</v>
      </c>
      <c r="D3472" t="inlineStr">
        <is>
          <t>G1</t>
        </is>
      </c>
      <c r="E3472" t="inlineStr">
        <is>
          <t>HAITIANOS</t>
        </is>
      </c>
      <c r="F3472" t="inlineStr"/>
      <c r="G3472" t="inlineStr"/>
      <c r="H3472" t="inlineStr">
        <is>
          <t>HAITIANOS AGUARDAM CONFIRMAÇÃO SOBRE PERMISSÃO DE ENTRADA NO BRASIL</t>
        </is>
      </c>
      <c r="I3472" t="inlineStr"/>
      <c r="J3472">
        <f>HYPERLINK("http://g1.globo.com/mundo/noticia/2012/04/haitianos-aguardam-confirmacao-sobre-permissao-de-entrada-no-brasil.html", "URL")</f>
        <v/>
      </c>
      <c r="K3472">
        <f>HYPERLINK("https://raw.githubusercontent.com/marcosmapl/dataset_imigrantes/main/noticias_filtered/g1/haitianos/2012/03_abr/html/g1_6035ff68-22fa-11ed-b24f-6dbe51e79fca_2215.html", "HTML")</f>
        <v/>
      </c>
      <c r="L3472">
        <f>HYPERLINK("https://raw.githubusercontent.com/marcosmapl/dataset_imigrantes/main/noticias_filtered/g1/haitianos/2012/03_abr/txt/g1_6035ff68-22fa-11ed-b24f-6dbe51e79fca_2215.txt", "TXT")</f>
        <v/>
      </c>
    </row>
    <row r="3473">
      <c r="A3473" s="1" t="n">
        <v>3471</v>
      </c>
      <c r="B3473" t="n">
        <v>2012</v>
      </c>
      <c r="C3473" s="2" t="n">
        <v>41002.65347222222</v>
      </c>
      <c r="D3473" t="inlineStr">
        <is>
          <t>G1</t>
        </is>
      </c>
      <c r="E3473" t="inlineStr">
        <is>
          <t>HAITIANOS</t>
        </is>
      </c>
      <c r="F3473" t="inlineStr"/>
      <c r="G3473" t="inlineStr">
        <is>
          <t>1 PR, COM INFORMAÇÕES DA RPC TV CASCAVEL</t>
        </is>
      </c>
      <c r="H3473" t="inlineStr">
        <is>
          <t>HAITIANOS REFUGIADOS QUE TRABALHAM EM CASCAVEL APRENDEM PORTUGUÊS</t>
        </is>
      </c>
      <c r="I3473" t="inlineStr"/>
      <c r="J3473">
        <f>HYPERLINK("http://g1.globo.com/pr/parana/noticia/2012/04/haitianos-refugiados-que-trabalham-em-cascavel-aprendem-o-portugues.html", "URL")</f>
        <v/>
      </c>
      <c r="K3473">
        <f>HYPERLINK("https://raw.githubusercontent.com/marcosmapl/dataset_imigrantes/main/noticias_filtered/g1/haitianos/2012/03_abr/html/g1_72f9ad9a-22f8-11ed-b24f-6dbe51e79fca_2135.html", "HTML")</f>
        <v/>
      </c>
      <c r="L3473">
        <f>HYPERLINK("https://raw.githubusercontent.com/marcosmapl/dataset_imigrantes/main/noticias_filtered/g1/haitianos/2012/03_abr/txt/g1_72f9ad9a-22f8-11ed-b24f-6dbe51e79fca_2135.txt", "TXT")</f>
        <v/>
      </c>
    </row>
    <row r="3474">
      <c r="A3474" s="1" t="n">
        <v>3472</v>
      </c>
      <c r="B3474" t="n">
        <v>2012</v>
      </c>
      <c r="C3474" s="2" t="n">
        <v>40999.25416666667</v>
      </c>
      <c r="D3474" t="inlineStr">
        <is>
          <t>G1</t>
        </is>
      </c>
      <c r="E3474" t="inlineStr">
        <is>
          <t>HAITIANOS</t>
        </is>
      </c>
      <c r="F3474" t="inlineStr"/>
      <c r="G3474" t="inlineStr">
        <is>
          <t>CIA EFE</t>
        </is>
      </c>
      <c r="H3474" t="inlineStr">
        <is>
          <t>GRUPO DE HAITIANOS AINDA SEGUE NA FRONTEIRA ENTRE PERU E BRASIL</t>
        </is>
      </c>
      <c r="I3474" t="inlineStr"/>
      <c r="J3474">
        <f>HYPERLINK("http://g1.globo.com/mundo/noticia/2012/03/grupo-de-haitianos-ainda-segue-na-fronteira-entre-peru-e-brasil.html", "URL")</f>
        <v/>
      </c>
      <c r="K3474">
        <f>HYPERLINK("https://raw.githubusercontent.com/marcosmapl/dataset_imigrantes/main/noticias_filtered/g1/haitianos/2012/02_mar/html/g1_e96a4430-22f3-11ed-b24f-6dbe51e79fca_1864.html", "HTML")</f>
        <v/>
      </c>
      <c r="L3474">
        <f>HYPERLINK("https://raw.githubusercontent.com/marcosmapl/dataset_imigrantes/main/noticias_filtered/g1/haitianos/2012/02_mar/txt/g1_e96a4430-22f3-11ed-b24f-6dbe51e79fca_1864.txt", "TXT")</f>
        <v/>
      </c>
    </row>
    <row r="3475">
      <c r="A3475" s="1" t="n">
        <v>3473</v>
      </c>
      <c r="B3475" t="n">
        <v>2012</v>
      </c>
      <c r="C3475" s="2" t="n">
        <v>40998.35416666666</v>
      </c>
      <c r="D3475" t="inlineStr">
        <is>
          <t>G1</t>
        </is>
      </c>
      <c r="E3475" t="inlineStr">
        <is>
          <t>HAITIANOS</t>
        </is>
      </c>
      <c r="F3475" t="inlineStr"/>
      <c r="G3475" t="inlineStr"/>
      <c r="H3475" t="inlineStr">
        <is>
          <t>PROCURADORA COBRA NO SENADO SOLUÇÃO PARA HAITIANOS PRESOS NA FRONTEIRA</t>
        </is>
      </c>
      <c r="I3475" t="inlineStr"/>
      <c r="J3475">
        <f>HYPERLINK("http://g1.globo.com/brasil/noticia/2012/03/procuradora-cobra-no-senado-solucao-para-haitianos-presos-na-fronteira.html", "URL")</f>
        <v/>
      </c>
      <c r="K3475">
        <f>HYPERLINK("https://raw.githubusercontent.com/marcosmapl/dataset_imigrantes/main/noticias_filtered/g1/haitianos/2012/02_mar/html/g1_e74ef7de-22f0-11ed-b24f-6dbe51e79fca_1725.html", "HTML")</f>
        <v/>
      </c>
      <c r="L3475">
        <f>HYPERLINK("https://raw.githubusercontent.com/marcosmapl/dataset_imigrantes/main/noticias_filtered/g1/haitianos/2012/02_mar/txt/g1_e74ef7de-22f0-11ed-b24f-6dbe51e79fca_1725.txt", "TXT")</f>
        <v/>
      </c>
    </row>
    <row r="3476">
      <c r="A3476" s="1" t="n">
        <v>3474</v>
      </c>
      <c r="B3476" t="n">
        <v>2012</v>
      </c>
      <c r="C3476" s="2" t="n">
        <v>40997.575</v>
      </c>
      <c r="D3476" t="inlineStr">
        <is>
          <t>G1</t>
        </is>
      </c>
      <c r="E3476" t="inlineStr">
        <is>
          <t>HAITIANOS</t>
        </is>
      </c>
      <c r="F3476" t="inlineStr"/>
      <c r="G3476" t="inlineStr"/>
      <c r="H3476" t="inlineStr">
        <is>
          <t>HAITIANOS ESPERAM PARA ENTRAR NO BRASIL</t>
        </is>
      </c>
      <c r="I3476" t="inlineStr"/>
      <c r="J3476">
        <f>HYPERLINK("http://g1.globo.com/brasil/noticia/2012/03/haitianos-esperam-para-entrar-no-brasil.html", "URL")</f>
        <v/>
      </c>
      <c r="K3476">
        <f>HYPERLINK("https://raw.githubusercontent.com/marcosmapl/dataset_imigrantes/main/noticias_filtered/g1/haitianos/2012/02_mar/html/g1_b8de60ec-22f0-11ed-b24f-6dbe51e79fca_1717.html", "HTML")</f>
        <v/>
      </c>
      <c r="L3476">
        <f>HYPERLINK("https://raw.githubusercontent.com/marcosmapl/dataset_imigrantes/main/noticias_filtered/g1/haitianos/2012/02_mar/txt/g1_b8de60ec-22f0-11ed-b24f-6dbe51e79fca_1717.txt", "TXT")</f>
        <v/>
      </c>
    </row>
    <row r="3477">
      <c r="A3477" s="1" t="n">
        <v>3475</v>
      </c>
      <c r="B3477" t="n">
        <v>2012</v>
      </c>
      <c r="C3477" s="2" t="n">
        <v>40997.28125</v>
      </c>
      <c r="D3477" t="inlineStr">
        <is>
          <t>G1</t>
        </is>
      </c>
      <c r="E3477" t="inlineStr">
        <is>
          <t>HAITIANOS</t>
        </is>
      </c>
      <c r="F3477" t="inlineStr"/>
      <c r="G3477" t="inlineStr"/>
      <c r="H3477" t="inlineStr">
        <is>
          <t>BARRADOS HÁ 77 DIAS, HAITIANOS DORMEM EM PRAÇA NO PERU À ESPERA DE DECISÃO DO BRASIL</t>
        </is>
      </c>
      <c r="I3477" t="inlineStr"/>
      <c r="J3477">
        <f>HYPERLINK("http://g1.globo.com/brasil/noticia/2012/03/barrados-ha-77-dias-haitianos-dormem-em-praca-no-peru-a-espera-de-decisao-do-brasil.html", "URL")</f>
        <v/>
      </c>
      <c r="K3477">
        <f>HYPERLINK("https://raw.githubusercontent.com/marcosmapl/dataset_imigrantes/main/noticias_filtered/g1/haitianos/2012/02_mar/html/g1_4096faf4-230e-11ed-b24f-6dbe51e79fca_2730.html", "HTML")</f>
        <v/>
      </c>
      <c r="L3477">
        <f>HYPERLINK("https://raw.githubusercontent.com/marcosmapl/dataset_imigrantes/main/noticias_filtered/g1/haitianos/2012/02_mar/txt/g1_4096faf4-230e-11ed-b24f-6dbe51e79fca_2730.txt", "TXT")</f>
        <v/>
      </c>
    </row>
    <row r="3478">
      <c r="A3478" s="1" t="n">
        <v>3476</v>
      </c>
      <c r="B3478" t="n">
        <v>2012</v>
      </c>
      <c r="C3478" s="2" t="n">
        <v>40996.94236111111</v>
      </c>
      <c r="D3478" t="inlineStr">
        <is>
          <t>G1</t>
        </is>
      </c>
      <c r="E3478" t="inlineStr">
        <is>
          <t>HAITIANOS</t>
        </is>
      </c>
      <c r="F3478" t="inlineStr"/>
      <c r="G3478" t="inlineStr">
        <is>
          <t>OS DANTASDO G1 AM</t>
        </is>
      </c>
      <c r="H3478" t="inlineStr">
        <is>
          <t>NO AM, HAITIANOS FAZEM PASSEATA PARA SENSIBILIZAR GOVERNO FEDERAL</t>
        </is>
      </c>
      <c r="I3478" t="inlineStr"/>
      <c r="J3478">
        <f>HYPERLINK("http://g1.globo.com/am/amazonas/noticia/2012/03/no-am-haitianos-fazem-passeata-para-sensibilizar-governo-federal.html", "URL")</f>
        <v/>
      </c>
      <c r="K3478">
        <f>HYPERLINK("https://raw.githubusercontent.com/marcosmapl/dataset_imigrantes/main/noticias_filtered/g1/haitianos/2012/02_mar/html/g1_2e23c228-22f8-11ed-b24f-6dbe51e79fca_2119.html", "HTML")</f>
        <v/>
      </c>
      <c r="L3478">
        <f>HYPERLINK("https://raw.githubusercontent.com/marcosmapl/dataset_imigrantes/main/noticias_filtered/g1/haitianos/2012/02_mar/txt/g1_2e23c228-22f8-11ed-b24f-6dbe51e79fca_2119.txt", "TXT")</f>
        <v/>
      </c>
    </row>
    <row r="3479">
      <c r="A3479" s="1" t="n">
        <v>3477</v>
      </c>
      <c r="B3479" t="n">
        <v>2012</v>
      </c>
      <c r="C3479" s="2" t="n">
        <v>40991.69466435185</v>
      </c>
      <c r="D3479" t="inlineStr">
        <is>
          <t>A CRITICA</t>
        </is>
      </c>
      <c r="E3479" t="inlineStr">
        <is>
          <t>VENEZUELANOS</t>
        </is>
      </c>
      <c r="F3479" t="inlineStr"/>
      <c r="G3479" t="inlineStr">
        <is>
          <t>ELAÍZE FARIAS</t>
        </is>
      </c>
      <c r="H3479" t="inlineStr">
        <is>
          <t>ANTROPÓLOGO INGLÊS CONTABILIZA 40 ANOS DE TRABALHOS COM ETNIAS DA AMAZÔNIA</t>
        </is>
      </c>
      <c r="I3479" t="inlineStr">
        <is>
          <t>STEPHEN-HUGH-JONES ESTÁ APOSENTADO DA UNIVERSIDADE DE CAMBRIGDE MAS DESENVOLVE ESTUDOS POR “HOBBY” E ADMITE QUE GOSTARIA DE EMPREENDER UM NÚMERO MAIOR DE TRABALHO DE CAMPO SE “TIVESSE TEMPO E DINHEIRO”</t>
        </is>
      </c>
      <c r="J3479">
        <f>HYPERLINK("https://www.acritica.com/antropologo-ingles-contabiliza-40-anos-de-trabalhos-com-etnias-da-amazonia-1.163056", "URL")</f>
        <v/>
      </c>
      <c r="K3479">
        <f>HYPERLINK("https://raw.githubusercontent.com/marcosmapl/dataset_imigrantes/main/noticias_filtered/a_critica/venezuelanos/2012/02_mar/html/1.163056_62.html", "HTML")</f>
        <v/>
      </c>
      <c r="L3479">
        <f>HYPERLINK("https://raw.githubusercontent.com/marcosmapl/dataset_imigrantes/main/noticias_filtered/a_critica/venezuelanos/2012/02_mar/txt/1.163056_62.txt", "TXT")</f>
        <v/>
      </c>
    </row>
    <row r="3480">
      <c r="A3480" s="1" t="n">
        <v>3478</v>
      </c>
      <c r="B3480" t="n">
        <v>2012</v>
      </c>
      <c r="C3480" s="2" t="n">
        <v>40990.87056712963</v>
      </c>
      <c r="D3480" t="inlineStr">
        <is>
          <t>A CRITICA</t>
        </is>
      </c>
      <c r="E3480" t="inlineStr">
        <is>
          <t>VENEZUELANOS</t>
        </is>
      </c>
      <c r="F3480" t="inlineStr">
        <is>
          <t>ENTRETENIMENTO</t>
        </is>
      </c>
      <c r="G3480" t="inlineStr">
        <is>
          <t>ACRÍTICA.COM</t>
        </is>
      </c>
      <c r="H3480" t="inlineStr">
        <is>
          <t>MÚSICO SALOMÃO ROSSY FARÁ SHOW TOADAS IMORTAIS EM MANAUS</t>
        </is>
      </c>
      <c r="I3480" t="inlineStr">
        <is>
          <t>O SHOW DE FORMATO ACÚSTICO, FAZ COM QUE AS TOADAS GANHEM REALCE, DESTACANDO SUA MELODIA E LETRA AO SOM DE VIOLÕES, CHARANGO, CUATRO VENEZUELANO E PERCUSSÃO</t>
        </is>
      </c>
      <c r="J3480">
        <f>HYPERLINK("https://www.acritica.com/entretenimento/musico-salom-o-rossy-fara-show-toadas-imortais-em-manaus-1.107858", "URL")</f>
        <v/>
      </c>
      <c r="K3480">
        <f>HYPERLINK("https://raw.githubusercontent.com/marcosmapl/dataset_imigrantes/main/noticias_filtered/a_critica/venezuelanos/2012/02_mar/html/1.107858_984.html", "HTML")</f>
        <v/>
      </c>
      <c r="L3480">
        <f>HYPERLINK("https://raw.githubusercontent.com/marcosmapl/dataset_imigrantes/main/noticias_filtered/a_critica/venezuelanos/2012/02_mar/txt/1.107858_984.txt", "TXT")</f>
        <v/>
      </c>
    </row>
    <row r="3481">
      <c r="A3481" s="1" t="n">
        <v>3479</v>
      </c>
      <c r="B3481" t="n">
        <v>2012</v>
      </c>
      <c r="C3481" s="2" t="n">
        <v>40988.27430555555</v>
      </c>
      <c r="D3481" t="inlineStr">
        <is>
          <t>G1</t>
        </is>
      </c>
      <c r="E3481" t="inlineStr">
        <is>
          <t>HAITIANOS</t>
        </is>
      </c>
      <c r="F3481" t="inlineStr"/>
      <c r="G3481" t="inlineStr">
        <is>
          <t>LOBO RURAL</t>
        </is>
      </c>
      <c r="H3481" t="inlineStr">
        <is>
          <t>HAITIANOS RECONSTROEM A VIDA EM USINAS DE BIOENERGIA DE GO</t>
        </is>
      </c>
      <c r="I3481" t="inlineStr"/>
      <c r="J3481">
        <f>HYPERLINK("http://g1.globo.com/economia/agronegocios/noticia/2012/03/haitianos-reconstroem-vida-em-usinas-de-bioenergia-de-go.html", "URL")</f>
        <v/>
      </c>
      <c r="K3481">
        <f>HYPERLINK("https://raw.githubusercontent.com/marcosmapl/dataset_imigrantes/main/noticias_filtered/g1/haitianos/2012/02_mar/html/g1_d56e6486-22f6-11ed-b24f-6dbe51e79fca_2041.html", "HTML")</f>
        <v/>
      </c>
      <c r="L3481">
        <f>HYPERLINK("https://raw.githubusercontent.com/marcosmapl/dataset_imigrantes/main/noticias_filtered/g1/haitianos/2012/02_mar/txt/g1_d56e6486-22f6-11ed-b24f-6dbe51e79fca_2041.txt", "TXT")</f>
        <v/>
      </c>
    </row>
    <row r="3482">
      <c r="A3482" s="1" t="n">
        <v>3480</v>
      </c>
      <c r="B3482" t="n">
        <v>2012</v>
      </c>
      <c r="C3482" s="2" t="n">
        <v>40983.52716435185</v>
      </c>
      <c r="D3482" t="inlineStr">
        <is>
          <t>A CRITICA</t>
        </is>
      </c>
      <c r="E3482" t="inlineStr">
        <is>
          <t>VENEZUELANOS</t>
        </is>
      </c>
      <c r="F3482" t="inlineStr">
        <is>
          <t>ESPORTES</t>
        </is>
      </c>
      <c r="G3482" t="inlineStr">
        <is>
          <t>LANCE</t>
        </is>
      </c>
      <c r="H3482" t="inlineStr">
        <is>
          <t>FLU PODE IR ÀS OITAVAS DA LIBERTA NA PRÓXIMA RODADA</t>
        </is>
      </c>
      <c r="I3482" t="inlineStr">
        <is>
          <t>TRICOLOR ESTÁ MUITO PRÓXIMO DE SE CLASSIFICAR À PRÓXIMA FASE DO TORNEIO SUL-AMERICANO</t>
        </is>
      </c>
      <c r="J3482">
        <f>HYPERLINK("https://www.acritica.com/esportes/flu-pode-ir-as-oitavas-da-liberta-na-proxima-rodada-1.108710", "URL")</f>
        <v/>
      </c>
      <c r="K3482">
        <f>HYPERLINK("https://raw.githubusercontent.com/marcosmapl/dataset_imigrantes/main/noticias_filtered/a_critica/venezuelanos/2012/02_mar/html/1.108710_94.html", "HTML")</f>
        <v/>
      </c>
      <c r="L3482">
        <f>HYPERLINK("https://raw.githubusercontent.com/marcosmapl/dataset_imigrantes/main/noticias_filtered/a_critica/venezuelanos/2012/02_mar/txt/1.108710_94.txt", "TXT")</f>
        <v/>
      </c>
    </row>
    <row r="3483">
      <c r="A3483" s="1" t="n">
        <v>3481</v>
      </c>
      <c r="B3483" t="n">
        <v>2012</v>
      </c>
      <c r="C3483" s="2" t="n">
        <v>40981.33819444444</v>
      </c>
      <c r="D3483" t="inlineStr">
        <is>
          <t>G1</t>
        </is>
      </c>
      <c r="E3483" t="inlineStr">
        <is>
          <t>HAITIANOS</t>
        </is>
      </c>
      <c r="F3483" t="inlineStr"/>
      <c r="G3483" t="inlineStr">
        <is>
          <t>OS EDUARDO MATOSDO G1 AM</t>
        </is>
      </c>
      <c r="H3483" t="inlineStr">
        <is>
          <t>HAITIANOS EM MANAUS SÃO RECRUTADOS PARA TRABALHAREM NO SUL E SUDESTE</t>
        </is>
      </c>
      <c r="I3483" t="inlineStr"/>
      <c r="J3483">
        <f>HYPERLINK("http://g1.globo.com/am/amazonas/noticia/2012/03/haitianos-em-manaus-sao-recrutados-para-trabalharem-no-sul-e-sudeste.html", "URL")</f>
        <v/>
      </c>
      <c r="K3483">
        <f>HYPERLINK("https://raw.githubusercontent.com/marcosmapl/dataset_imigrantes/main/noticias_filtered/g1/haitianos/2012/02_mar/html/g1_6f5cd0e0-2307-11ed-b24f-6dbe51e79fca_2317.html", "HTML")</f>
        <v/>
      </c>
      <c r="L3483">
        <f>HYPERLINK("https://raw.githubusercontent.com/marcosmapl/dataset_imigrantes/main/noticias_filtered/g1/haitianos/2012/02_mar/txt/g1_6f5cd0e0-2307-11ed-b24f-6dbe51e79fca_2317.txt", "TXT")</f>
        <v/>
      </c>
    </row>
    <row r="3484">
      <c r="A3484" s="1" t="n">
        <v>3482</v>
      </c>
      <c r="B3484" t="n">
        <v>2012</v>
      </c>
      <c r="C3484" s="2" t="n">
        <v>40976.7375</v>
      </c>
      <c r="D3484" t="inlineStr">
        <is>
          <t>G1</t>
        </is>
      </c>
      <c r="E3484" t="inlineStr">
        <is>
          <t>VENEZUELANOS</t>
        </is>
      </c>
      <c r="F3484" t="inlineStr"/>
      <c r="G3484" t="inlineStr">
        <is>
          <t>CIA EFE</t>
        </is>
      </c>
      <c r="H3484" t="inlineStr">
        <is>
          <t>VENEZUELANAS MARCHAM PARA PEDIR RECUPERAÇÃO DE CHÁVEZ</t>
        </is>
      </c>
      <c r="I3484" t="inlineStr"/>
      <c r="J3484">
        <f>HYPERLINK("http://g1.globo.com/mundo/noticia/2012/03/venezuelanas-marcham-para-pedir-recuperacao-de-chavez.html", "URL")</f>
        <v/>
      </c>
      <c r="K3484">
        <f>HYPERLINK("https://raw.githubusercontent.com/marcosmapl/dataset_imigrantes/main/noticias_filtered/g1/venezuelanos/2012/02_mar/html/g1_850f6308-2325-11ed-b24f-6dbe51e79fca_3919.html", "HTML")</f>
        <v/>
      </c>
      <c r="L3484">
        <f>HYPERLINK("https://raw.githubusercontent.com/marcosmapl/dataset_imigrantes/main/noticias_filtered/g1/venezuelanos/2012/02_mar/txt/g1_850f6308-2325-11ed-b24f-6dbe51e79fca_3919.txt", "TXT")</f>
        <v/>
      </c>
    </row>
    <row r="3485">
      <c r="A3485" s="1" t="n">
        <v>3483</v>
      </c>
      <c r="B3485" t="n">
        <v>2012</v>
      </c>
      <c r="C3485" s="2" t="n">
        <v>40975.80208333334</v>
      </c>
      <c r="D3485" t="inlineStr">
        <is>
          <t>G1</t>
        </is>
      </c>
      <c r="E3485" t="inlineStr">
        <is>
          <t>HAITIANOS</t>
        </is>
      </c>
      <c r="F3485" t="inlineStr"/>
      <c r="G3485" t="inlineStr">
        <is>
          <t>1 SUL DE MINAS</t>
        </is>
      </c>
      <c r="H3485" t="inlineStr">
        <is>
          <t>HAITIANAS APRESENTAM QUADRO DE ANEMIA EM FAZENDA DE ROSAS</t>
        </is>
      </c>
      <c r="I3485" t="inlineStr"/>
      <c r="J3485">
        <f>HYPERLINK("http://g1.globo.com/mg/sul-de-minas/noticia/2012/03/haitianas-apresentam-quadro-de-anemia-em-fazenda-de-rosas.html", "URL")</f>
        <v/>
      </c>
      <c r="K3485">
        <f>HYPERLINK("https://raw.githubusercontent.com/marcosmapl/dataset_imigrantes/main/noticias_filtered/g1/haitianos/2012/02_mar/html/g1_bbf9f10e-2306-11ed-b24f-6dbe51e79fca_2275.html", "HTML")</f>
        <v/>
      </c>
      <c r="L3485">
        <f>HYPERLINK("https://raw.githubusercontent.com/marcosmapl/dataset_imigrantes/main/noticias_filtered/g1/haitianos/2012/02_mar/txt/g1_bbf9f10e-2306-11ed-b24f-6dbe51e79fca_2275.txt", "TXT")</f>
        <v/>
      </c>
    </row>
    <row r="3486">
      <c r="A3486" s="1" t="n">
        <v>3484</v>
      </c>
      <c r="B3486" t="n">
        <v>2012</v>
      </c>
      <c r="C3486" s="2" t="n">
        <v>40974.92152777778</v>
      </c>
      <c r="D3486" t="inlineStr">
        <is>
          <t>G1</t>
        </is>
      </c>
      <c r="E3486" t="inlineStr">
        <is>
          <t>HAITIANOS</t>
        </is>
      </c>
      <c r="F3486" t="inlineStr"/>
      <c r="G3486" t="inlineStr">
        <is>
          <t>1 AM</t>
        </is>
      </c>
      <c r="H3486" t="inlineStr">
        <is>
          <t>CPI DISCUTE IMIGRAÇÃO ILEGAL DE HAITIANOS PARA O BRASIL, NO AMAZONAS</t>
        </is>
      </c>
      <c r="I3486" t="inlineStr"/>
      <c r="J3486">
        <f>HYPERLINK("http://g1.globo.com/am/amazonas/noticia/2012/03/cpi-discute-imigracao-ilegal-de-haitianos-para-o-brasil-no-amazonas.html", "URL")</f>
        <v/>
      </c>
      <c r="K3486">
        <f>HYPERLINK("https://raw.githubusercontent.com/marcosmapl/dataset_imigrantes/main/noticias_filtered/g1/haitianos/2012/02_mar/html/g1_50aeff34-22f7-11ed-b24f-6dbe51e79fca_2071.html", "HTML")</f>
        <v/>
      </c>
      <c r="L3486">
        <f>HYPERLINK("https://raw.githubusercontent.com/marcosmapl/dataset_imigrantes/main/noticias_filtered/g1/haitianos/2012/02_mar/txt/g1_50aeff34-22f7-11ed-b24f-6dbe51e79fca_2071.txt", "TXT")</f>
        <v/>
      </c>
    </row>
    <row r="3487">
      <c r="A3487" s="1" t="n">
        <v>3485</v>
      </c>
      <c r="B3487" t="n">
        <v>2012</v>
      </c>
      <c r="C3487" s="2" t="n">
        <v>40974.02496527778</v>
      </c>
      <c r="D3487" t="inlineStr">
        <is>
          <t>A CRITICA</t>
        </is>
      </c>
      <c r="E3487" t="inlineStr">
        <is>
          <t>HAITIANOS</t>
        </is>
      </c>
      <c r="F3487" t="inlineStr"/>
      <c r="G3487" t="inlineStr">
        <is>
          <t>ACRÍTICA.COM</t>
        </is>
      </c>
      <c r="H3487" t="inlineStr">
        <is>
          <t>CPI DO TRÁFICO NACIONAL E INTERNACIONAL DE PESSOAS DISCUTE SITUAÇÃO DE HAITIANOS NO AMAZONAS</t>
        </is>
      </c>
      <c r="I3487" t="inlineStr">
        <is>
          <t>POLÍTICOS E AUTORIDADES DISCUTIRAM NESTA SEGUNDA-FEIRA, NO AUDITÓRIO BERLAMINO LINS, NA ASSEMBLEIA LEGISLATIVA DO AMAZONAS, AS NUANCES DO TRÁFICO DE PESSOAS NACIONALMENTE E INTERNACIONALMENTE, ALÉM DA SITUAÇÃO DOS IMIGRANTES HAITIANOS NO AMAZONAS</t>
        </is>
      </c>
      <c r="J3487">
        <f>HYPERLINK("https://www.acritica.com/cpi-do-trafico-nacional-e-internacional-de-pessoas-discute-situac-o-de-haitianos-no-amazonas-1.161149", "URL")</f>
        <v/>
      </c>
      <c r="K3487">
        <f>HYPERLINK("https://raw.githubusercontent.com/marcosmapl/dataset_imigrantes/main/noticias_filtered/a_critica/haitianos/2012/02_mar/html/1.161149_509.html", "HTML")</f>
        <v/>
      </c>
      <c r="L3487">
        <f>HYPERLINK("https://raw.githubusercontent.com/marcosmapl/dataset_imigrantes/main/noticias_filtered/a_critica/haitianos/2012/02_mar/txt/1.161149_509.txt", "TXT")</f>
        <v/>
      </c>
    </row>
    <row r="3488">
      <c r="A3488" s="1" t="n">
        <v>3486</v>
      </c>
      <c r="B3488" t="n">
        <v>2012</v>
      </c>
      <c r="C3488" s="2" t="n">
        <v>40973.65405092593</v>
      </c>
      <c r="D3488" t="inlineStr">
        <is>
          <t>A CRITICA</t>
        </is>
      </c>
      <c r="E3488" t="inlineStr">
        <is>
          <t>HAITIANOS</t>
        </is>
      </c>
      <c r="F3488" t="inlineStr">
        <is>
          <t>MANAUS</t>
        </is>
      </c>
      <c r="G3488" t="inlineStr">
        <is>
          <t>JOELMA MUNIZ</t>
        </is>
      </c>
      <c r="H3488" t="inlineStr">
        <is>
          <t>AUDIÊNCIA PÚBLICA DISCUTE TRÁFICO DE PESSOAS NA ALE-AM</t>
        </is>
      </c>
      <c r="I3488" t="inlineStr">
        <is>
          <t>DE ACORDO COM A PRESIDENTE DA COMISSÃO PARLAMENTAR DE INQUÉRITO (CPI) DO SENADO FEDERAL, QUE INVESTIGA CASOS DE TRÁFICO HUMANO NO PAÍS, SENADORA VANESSA GRAZZIONTIN (PCDOB), O OBJETIVO DA AUDIÊNCIA E VERIFICAR CASOS REFERENTES A ATIVIDADES DE ‘COIOTES’, NO PROCESSO DE ENTRADA DE HAITIANOS NO ESTADO</t>
        </is>
      </c>
      <c r="J3488">
        <f>HYPERLINK("https://www.acritica.com/manaus/audiencia-publica-discute-trafico-de-pessoas-na-ale-am-1.161195", "URL")</f>
        <v/>
      </c>
      <c r="K3488">
        <f>HYPERLINK("https://raw.githubusercontent.com/marcosmapl/dataset_imigrantes/main/noticias_filtered/a_critica/haitianos/2012/02_mar/html/1.161195_672.html", "HTML")</f>
        <v/>
      </c>
      <c r="L3488">
        <f>HYPERLINK("https://raw.githubusercontent.com/marcosmapl/dataset_imigrantes/main/noticias_filtered/a_critica/haitianos/2012/02_mar/txt/1.161195_672.txt", "TXT")</f>
        <v/>
      </c>
    </row>
    <row r="3489">
      <c r="A3489" s="1" t="n">
        <v>3487</v>
      </c>
      <c r="B3489" t="n">
        <v>2012</v>
      </c>
      <c r="C3489" s="2" t="n">
        <v>40970.72464120371</v>
      </c>
      <c r="D3489" t="inlineStr">
        <is>
          <t>A CRITICA</t>
        </is>
      </c>
      <c r="E3489" t="inlineStr">
        <is>
          <t>HAITIANOS</t>
        </is>
      </c>
      <c r="F3489" t="inlineStr">
        <is>
          <t>MANAUS</t>
        </is>
      </c>
      <c r="G3489" t="inlineStr">
        <is>
          <t>ACRÍTICA.COM</t>
        </is>
      </c>
      <c r="H3489" t="inlineStr">
        <is>
          <t>SUSPEITO DE TENTAR ROUBAR E ATIRAR CONTRA HAITIANO É PRESO NA ZONA OESTE DE MANAUS</t>
        </is>
      </c>
      <c r="I3489" t="inlineStr">
        <is>
          <t>JONATHA COLARES FOI RECONHECIDO PELA VÍTIMA, POR MEIO DE UMA FOTOGRAFIA. ELE E UM TIO PARTICPARAM DO CRIME</t>
        </is>
      </c>
      <c r="J3489">
        <f>HYPERLINK("https://www.acritica.com/manaus/suspeito-de-tentar-roubar-e-atirar-contra-haitiano-e-preso-na-zona-oeste-de-manaus-1.161030", "URL")</f>
        <v/>
      </c>
      <c r="K3489">
        <f>HYPERLINK("https://raw.githubusercontent.com/marcosmapl/dataset_imigrantes/main/noticias_filtered/a_critica/haitianos/2012/02_mar/html/1.161030_1338.html", "HTML")</f>
        <v/>
      </c>
      <c r="L3489">
        <f>HYPERLINK("https://raw.githubusercontent.com/marcosmapl/dataset_imigrantes/main/noticias_filtered/a_critica/haitianos/2012/02_mar/txt/1.161030_1338.txt", "TXT")</f>
        <v/>
      </c>
    </row>
    <row r="3490">
      <c r="A3490" s="1" t="n">
        <v>3488</v>
      </c>
      <c r="B3490" t="n">
        <v>2012</v>
      </c>
      <c r="C3490" s="2" t="n">
        <v>40969.65023148148</v>
      </c>
      <c r="D3490" t="inlineStr">
        <is>
          <t>A CRITICA</t>
        </is>
      </c>
      <c r="E3490" t="inlineStr">
        <is>
          <t>VENEZUELANOS</t>
        </is>
      </c>
      <c r="F3490" t="inlineStr">
        <is>
          <t>ESPORTES</t>
        </is>
      </c>
      <c r="G3490" t="inlineStr">
        <is>
          <t>LANCE</t>
        </is>
      </c>
      <c r="H3490" t="inlineStr">
        <is>
          <t>RUBINHO ESTÁ CONFIRMADO NA FÓRMULA INDY EM 2012</t>
        </is>
      </c>
      <c r="I3490" t="inlineStr">
        <is>
          <t>BARRICHELLO SERÁ COMPANHEIRO DE EQUIPE DO AMIGO TONY KANAAN E DO VENEZUELANO ERNESTO VISO NA EQUIPE KV RACING</t>
        </is>
      </c>
      <c r="J3490">
        <f>HYPERLINK("https://www.acritica.com/esportes/rubinho-esta-confirmado-na-formula-indy-em-2012-1.160901", "URL")</f>
        <v/>
      </c>
      <c r="K3490">
        <f>HYPERLINK("https://raw.githubusercontent.com/marcosmapl/dataset_imigrantes/main/noticias_filtered/a_critica/venezuelanos/2012/02_mar/html/1.160901_216.html", "HTML")</f>
        <v/>
      </c>
      <c r="L3490">
        <f>HYPERLINK("https://raw.githubusercontent.com/marcosmapl/dataset_imigrantes/main/noticias_filtered/a_critica/venezuelanos/2012/02_mar/txt/1.160901_216.txt", "TXT")</f>
        <v/>
      </c>
    </row>
    <row r="3491">
      <c r="A3491" s="1" t="n">
        <v>3489</v>
      </c>
      <c r="B3491" t="n">
        <v>2012</v>
      </c>
      <c r="C3491" s="2" t="n">
        <v>40969.25833333333</v>
      </c>
      <c r="D3491" t="inlineStr">
        <is>
          <t>G1</t>
        </is>
      </c>
      <c r="E3491" t="inlineStr">
        <is>
          <t>HAITIANOS</t>
        </is>
      </c>
      <c r="F3491" t="inlineStr"/>
      <c r="G3491" t="inlineStr">
        <is>
          <t>BC</t>
        </is>
      </c>
      <c r="H3491" t="inlineStr">
        <is>
          <t>ESTRANGEIROS FAZEM ARTE HAITIANA RENASCER</t>
        </is>
      </c>
      <c r="I3491" t="inlineStr"/>
      <c r="J3491">
        <f>HYPERLINK("http://g1.globo.com/mundo/noticia/2012/03/estrangeiros-fazem-arte-haitiana-renascer.html", "URL")</f>
        <v/>
      </c>
      <c r="K3491">
        <f>HYPERLINK("https://raw.githubusercontent.com/marcosmapl/dataset_imigrantes/main/noticias_filtered/g1/haitianos/2012/02_mar/html/g1_e538ea64-2308-11ed-b24f-6dbe51e79fca_2411.html", "HTML")</f>
        <v/>
      </c>
      <c r="L3491">
        <f>HYPERLINK("https://raw.githubusercontent.com/marcosmapl/dataset_imigrantes/main/noticias_filtered/g1/haitianos/2012/02_mar/txt/g1_e538ea64-2308-11ed-b24f-6dbe51e79fca_2411.txt", "TXT")</f>
        <v/>
      </c>
    </row>
    <row r="3492">
      <c r="A3492" s="1" t="n">
        <v>3490</v>
      </c>
      <c r="B3492" t="n">
        <v>2012</v>
      </c>
      <c r="C3492" s="2" t="n">
        <v>40968.58958333333</v>
      </c>
      <c r="D3492" t="inlineStr">
        <is>
          <t>G1</t>
        </is>
      </c>
      <c r="E3492" t="inlineStr">
        <is>
          <t>HAITIANOS</t>
        </is>
      </c>
      <c r="F3492" t="inlineStr"/>
      <c r="G3492" t="inlineStr"/>
      <c r="H3492" t="inlineStr">
        <is>
          <t>APÓS NOVA REGRA, BRASIL SÓ CONCEDE 30% DA COTA DE VISTOS A HAITIANOS</t>
        </is>
      </c>
      <c r="I3492" t="inlineStr"/>
      <c r="J3492">
        <f>HYPERLINK("http://g1.globo.com/mundo/noticia/2012/02/apos-nova-regra-brasil-so-concede-30-da-cota-de-vistos-a-haitianos.html", "URL")</f>
        <v/>
      </c>
      <c r="K3492">
        <f>HYPERLINK("https://raw.githubusercontent.com/marcosmapl/dataset_imigrantes/main/noticias_filtered/g1/haitianos/2012/01_fev/html/g1_3ff360dc-230f-11ed-b24f-6dbe51e79fca_2785.html", "HTML")</f>
        <v/>
      </c>
      <c r="L3492">
        <f>HYPERLINK("https://raw.githubusercontent.com/marcosmapl/dataset_imigrantes/main/noticias_filtered/g1/haitianos/2012/01_fev/txt/g1_3ff360dc-230f-11ed-b24f-6dbe51e79fca_2785.txt", "TXT")</f>
        <v/>
      </c>
    </row>
    <row r="3493">
      <c r="A3493" s="1" t="n">
        <v>3491</v>
      </c>
      <c r="B3493" t="n">
        <v>2012</v>
      </c>
      <c r="C3493" s="2" t="n">
        <v>40968.5875</v>
      </c>
      <c r="D3493" t="inlineStr">
        <is>
          <t>G1</t>
        </is>
      </c>
      <c r="E3493" t="inlineStr">
        <is>
          <t>HAITIANOS</t>
        </is>
      </c>
      <c r="F3493" t="inlineStr"/>
      <c r="G3493" t="inlineStr"/>
      <c r="H3493" t="inlineStr">
        <is>
          <t>BARRADA NA FRONTEIRA, HAITIANA AGORA QUER ENTRAR NO BRASIL COM VISTO</t>
        </is>
      </c>
      <c r="I3493" t="inlineStr"/>
      <c r="J3493">
        <f>HYPERLINK("http://g1.globo.com/mundo/noticia/2012/02/barrada-na-fronteira-haitiana-agora-quer-entrar-no-brasil-com-visto.html", "URL")</f>
        <v/>
      </c>
      <c r="K3493">
        <f>HYPERLINK("https://raw.githubusercontent.com/marcosmapl/dataset_imigrantes/main/noticias_filtered/g1/haitianos/2012/01_fev/html/g1_049b9c2a-2328-11ed-b24f-6dbe51e79fca_4060.html", "HTML")</f>
        <v/>
      </c>
      <c r="L3493">
        <f>HYPERLINK("https://raw.githubusercontent.com/marcosmapl/dataset_imigrantes/main/noticias_filtered/g1/haitianos/2012/01_fev/txt/g1_049b9c2a-2328-11ed-b24f-6dbe51e79fca_4060.txt", "TXT")</f>
        <v/>
      </c>
    </row>
    <row r="3494">
      <c r="A3494" s="1" t="n">
        <v>3492</v>
      </c>
      <c r="B3494" t="n">
        <v>2012</v>
      </c>
      <c r="C3494" s="2" t="n">
        <v>40968.21666666667</v>
      </c>
      <c r="D3494" t="inlineStr">
        <is>
          <t>G1</t>
        </is>
      </c>
      <c r="E3494" t="inlineStr">
        <is>
          <t>HAITIANOS</t>
        </is>
      </c>
      <c r="F3494" t="inlineStr"/>
      <c r="G3494" t="inlineStr">
        <is>
          <t>BC</t>
        </is>
      </c>
      <c r="H3494" t="inlineStr">
        <is>
          <t>EM PATRULHA POR PORTO PRÍNCIPE, MINUSTAH RECEBE CRÍTICAS E ELOGIOS</t>
        </is>
      </c>
      <c r="I3494" t="inlineStr"/>
      <c r="J3494">
        <f>HYPERLINK("http://g1.globo.com/mundo/noticia/2012/02/em-patrulha-por-porto-principe-minustah-recebe-criticas-e-elogios.html", "URL")</f>
        <v/>
      </c>
      <c r="K3494">
        <f>HYPERLINK("https://raw.githubusercontent.com/marcosmapl/dataset_imigrantes/main/noticias_filtered/g1/haitianos/2012/01_fev/html/g1_1766a824-232b-11ed-b24f-6dbe51e79fca_4221.html", "HTML")</f>
        <v/>
      </c>
      <c r="L3494">
        <f>HYPERLINK("https://raw.githubusercontent.com/marcosmapl/dataset_imigrantes/main/noticias_filtered/g1/haitianos/2012/01_fev/txt/g1_1766a824-232b-11ed-b24f-6dbe51e79fca_4221.txt", "TXT")</f>
        <v/>
      </c>
    </row>
    <row r="3495">
      <c r="A3495" s="1" t="n">
        <v>3493</v>
      </c>
      <c r="B3495" t="n">
        <v>2012</v>
      </c>
      <c r="C3495" s="2" t="n">
        <v>40967.80373842592</v>
      </c>
      <c r="D3495" t="inlineStr">
        <is>
          <t>A CRITICA</t>
        </is>
      </c>
      <c r="E3495" t="inlineStr">
        <is>
          <t>HAITIANOS</t>
        </is>
      </c>
      <c r="F3495" t="inlineStr">
        <is>
          <t>MANAUS</t>
        </is>
      </c>
      <c r="G3495" t="inlineStr">
        <is>
          <t>ACRÍTICA.COM</t>
        </is>
      </c>
      <c r="H3495" t="inlineStr">
        <is>
          <t>SAÚDE DA REDE MUNICIPAL DE MANAUS VAI CADASTRAR HAITIANOS PARA ACESSO AOS SERVIÇOS DO SUS</t>
        </is>
      </c>
      <c r="I3495" t="inlineStr">
        <is>
          <t>NESTA QUARTA-FEIRA (29) SERVIDORES DA SEMSA PARTICIPARÃO DE TREINAMENTO, COM NOÇÕES BÁSICAS DE COMUNICAÇÃO EM CRIOULO, DIALETO DE QUASE TODA A POPULAÇÃO DO HAITI</t>
        </is>
      </c>
      <c r="J3495">
        <f>HYPERLINK("https://www.acritica.com/manaus/saude-da-rede-municipal-de-manaus-vai-cadastrar-haitianos-para-acesso-aos-servicos-do-sus-1.166757", "URL")</f>
        <v/>
      </c>
      <c r="K3495">
        <f>HYPERLINK("https://raw.githubusercontent.com/marcosmapl/dataset_imigrantes/main/noticias_filtered/a_critica/haitianos/2012/01_fev/html/1.166757_39.html", "HTML")</f>
        <v/>
      </c>
      <c r="L3495">
        <f>HYPERLINK("https://raw.githubusercontent.com/marcosmapl/dataset_imigrantes/main/noticias_filtered/a_critica/haitianos/2012/01_fev/txt/1.166757_39.txt", "TXT")</f>
        <v/>
      </c>
    </row>
    <row r="3496">
      <c r="A3496" s="1" t="n">
        <v>3494</v>
      </c>
      <c r="B3496" t="n">
        <v>2012</v>
      </c>
      <c r="C3496" s="2" t="n">
        <v>40967.78055555555</v>
      </c>
      <c r="D3496" t="inlineStr">
        <is>
          <t>G1</t>
        </is>
      </c>
      <c r="E3496" t="inlineStr">
        <is>
          <t>HAITIANOS</t>
        </is>
      </c>
      <c r="F3496" t="inlineStr"/>
      <c r="G3496" t="inlineStr">
        <is>
          <t>1 AM</t>
        </is>
      </c>
      <c r="H3496" t="inlineStr">
        <is>
          <t>SECRETARIA DE SAÚDE REALIZARÁ CADASTRO DE HAITIANOS NO SUS, NO AM</t>
        </is>
      </c>
      <c r="I3496" t="inlineStr"/>
      <c r="J3496">
        <f>HYPERLINK("http://g1.globo.com/am/amazonas/noticia/2012/02/secretaria-de-saude-realizara-cadastro-de-haitianos-no-sus-no-am.html", "URL")</f>
        <v/>
      </c>
      <c r="K3496">
        <f>HYPERLINK("https://raw.githubusercontent.com/marcosmapl/dataset_imigrantes/main/noticias_filtered/g1/haitianos/2012/01_fev/html/g1_b5a986a8-22f1-11ed-b24f-6dbe51e79fca_1762.html", "HTML")</f>
        <v/>
      </c>
      <c r="L3496">
        <f>HYPERLINK("https://raw.githubusercontent.com/marcosmapl/dataset_imigrantes/main/noticias_filtered/g1/haitianos/2012/01_fev/txt/g1_b5a986a8-22f1-11ed-b24f-6dbe51e79fca_1762.txt", "TXT")</f>
        <v/>
      </c>
    </row>
    <row r="3497">
      <c r="A3497" s="1" t="n">
        <v>3495</v>
      </c>
      <c r="B3497" t="n">
        <v>2012</v>
      </c>
      <c r="C3497" s="2" t="n">
        <v>40967.46875</v>
      </c>
      <c r="D3497" t="inlineStr">
        <is>
          <t>G1</t>
        </is>
      </c>
      <c r="E3497" t="inlineStr">
        <is>
          <t>HAITIANOS</t>
        </is>
      </c>
      <c r="F3497" t="inlineStr"/>
      <c r="G3497" t="inlineStr">
        <is>
          <t>CE PRESSE</t>
        </is>
      </c>
      <c r="H3497" t="inlineStr">
        <is>
          <t>QUASE 500.000 HAITIANOS VIVEM EM ACAMPAMENTOS</t>
        </is>
      </c>
      <c r="I3497" t="inlineStr"/>
      <c r="J3497">
        <f>HYPERLINK("http://g1.globo.com/mundo/noticia/2012/02/quase-500000-haitianos-vivem-em-acampamentos.html", "URL")</f>
        <v/>
      </c>
      <c r="K3497">
        <f>HYPERLINK("https://raw.githubusercontent.com/marcosmapl/dataset_imigrantes/main/noticias_filtered/g1/haitianos/2012/01_fev/html/g1_7a669c88-22f2-11ed-b24f-6dbe51e79fca_1800.html", "HTML")</f>
        <v/>
      </c>
      <c r="L3497">
        <f>HYPERLINK("https://raw.githubusercontent.com/marcosmapl/dataset_imigrantes/main/noticias_filtered/g1/haitianos/2012/01_fev/txt/g1_7a669c88-22f2-11ed-b24f-6dbe51e79fca_1800.txt", "TXT")</f>
        <v/>
      </c>
    </row>
    <row r="3498">
      <c r="A3498" s="1" t="n">
        <v>3496</v>
      </c>
      <c r="B3498" t="n">
        <v>2012</v>
      </c>
      <c r="C3498" s="2" t="n">
        <v>40966.81784722222</v>
      </c>
      <c r="D3498" t="inlineStr">
        <is>
          <t>A CRITICA</t>
        </is>
      </c>
      <c r="E3498" t="inlineStr">
        <is>
          <t>HAITIANOS</t>
        </is>
      </c>
      <c r="F3498" t="inlineStr"/>
      <c r="G3498" t="inlineStr">
        <is>
          <t>ACRÍTICA.COM</t>
        </is>
      </c>
      <c r="H3498" t="inlineStr">
        <is>
          <t>HAITIANOS DEVEM RECEBER R$ 520 MIL DE VERBA FEDERAL NAS PRÓXIMAS HORAS</t>
        </is>
      </c>
      <c r="I3498" t="inlineStr">
        <is>
          <t>A SECRETÁRIA EXECUTIVA DA SEAS AFIRMOU QUE A VERBA REPASSADA PELO GOVERNO FEDERAL DEVERÁ SER ENTREGUE NAS PRÓXIMAS HORAS</t>
        </is>
      </c>
      <c r="J3498">
        <f>HYPERLINK("https://www.acritica.com/haitianos-devem-receber-r-520-mil-de-verba-federal-nas-proximas-horas-1.166600", "URL")</f>
        <v/>
      </c>
      <c r="K3498">
        <f>HYPERLINK("https://raw.githubusercontent.com/marcosmapl/dataset_imigrantes/main/noticias_filtered/a_critica/haitianos/2012/01_fev/html/1.166600_40.html", "HTML")</f>
        <v/>
      </c>
      <c r="L3498">
        <f>HYPERLINK("https://raw.githubusercontent.com/marcosmapl/dataset_imigrantes/main/noticias_filtered/a_critica/haitianos/2012/01_fev/txt/1.166600_40.txt", "TXT")</f>
        <v/>
      </c>
    </row>
    <row r="3499">
      <c r="A3499" s="1" t="n">
        <v>3497</v>
      </c>
      <c r="B3499" t="n">
        <v>2012</v>
      </c>
      <c r="C3499" s="2" t="n">
        <v>40966.69583333333</v>
      </c>
      <c r="D3499" t="inlineStr">
        <is>
          <t>G1</t>
        </is>
      </c>
      <c r="E3499" t="inlineStr">
        <is>
          <t>HAITIANOS</t>
        </is>
      </c>
      <c r="F3499" t="inlineStr"/>
      <c r="G3499" t="inlineStr">
        <is>
          <t>GRAZIELA MAIADO G1 AM</t>
        </is>
      </c>
      <c r="H3499" t="inlineStr">
        <is>
          <t>MENOR APREENDIDO LEVA A PRISÃO DE SUSPEITO DE ATIRAR EM HAITIANO, NO AM</t>
        </is>
      </c>
      <c r="I3499" t="inlineStr"/>
      <c r="J3499">
        <f>HYPERLINK("http://g1.globo.com/am/amazonas/noticia/2012/02/menor-apreendido-leva-prisao-de-suspeito-de-atirar-em-haitiano-no-am.html", "URL")</f>
        <v/>
      </c>
      <c r="K3499">
        <f>HYPERLINK("https://raw.githubusercontent.com/marcosmapl/dataset_imigrantes/main/noticias_filtered/g1/haitianos/2012/01_fev/html/g1_d96a7f88-2329-11ed-b24f-6dbe51e79fca_4143.html", "HTML")</f>
        <v/>
      </c>
      <c r="L3499">
        <f>HYPERLINK("https://raw.githubusercontent.com/marcosmapl/dataset_imigrantes/main/noticias_filtered/g1/haitianos/2012/01_fev/txt/g1_d96a7f88-2329-11ed-b24f-6dbe51e79fca_4143.txt", "TXT")</f>
        <v/>
      </c>
    </row>
    <row r="3500">
      <c r="A3500" s="1" t="n">
        <v>3498</v>
      </c>
      <c r="B3500" t="n">
        <v>2012</v>
      </c>
      <c r="C3500" s="2" t="n">
        <v>40966.63325231482</v>
      </c>
      <c r="D3500" t="inlineStr">
        <is>
          <t>A CRITICA</t>
        </is>
      </c>
      <c r="E3500" t="inlineStr">
        <is>
          <t>HAITIANOS</t>
        </is>
      </c>
      <c r="F3500" t="inlineStr">
        <is>
          <t>MANAUS</t>
        </is>
      </c>
      <c r="G3500" t="inlineStr">
        <is>
          <t>JOELMA MUNIZ</t>
        </is>
      </c>
      <c r="H3500" t="inlineStr">
        <is>
          <t>IMIGRAÇÃO DE HAITIANOS AO AM SERÁ DEBATIDA PELA ALE-AM NESTA SEGUNDA-FEIRA (27)</t>
        </is>
      </c>
      <c r="I3500" t="inlineStr">
        <is>
          <t>A PROPOSITURA DOS DEPUTADOS JOSÉ RICARDO WENDLING (PT), LUIZ CASTRO (PPS) E MARCELO RAMOS (PSB), VISA DISCUTIR A SITUAÇÃO DE APROXIMADAMENTE 4 MIL HAITIANOS QUE ESTÃO NO ESTADO</t>
        </is>
      </c>
      <c r="J3500">
        <f>HYPERLINK("https://www.acritica.com/manaus/imigrac-o-de-haitianos-ao-am-sera-debatida-pela-ale-am-nesta-segunda-feira-27-1.166640", "URL")</f>
        <v/>
      </c>
      <c r="K3500">
        <f>HYPERLINK("https://raw.githubusercontent.com/marcosmapl/dataset_imigrantes/main/noticias_filtered/a_critica/haitianos/2012/01_fev/html/1.166640_33.html", "HTML")</f>
        <v/>
      </c>
      <c r="L3500">
        <f>HYPERLINK("https://raw.githubusercontent.com/marcosmapl/dataset_imigrantes/main/noticias_filtered/a_critica/haitianos/2012/01_fev/txt/1.166640_33.txt", "TXT")</f>
        <v/>
      </c>
    </row>
    <row r="3501">
      <c r="A3501" s="1" t="n">
        <v>3499</v>
      </c>
      <c r="B3501" t="n">
        <v>2012</v>
      </c>
      <c r="C3501" s="2" t="n">
        <v>40966.52638888889</v>
      </c>
      <c r="D3501" t="inlineStr">
        <is>
          <t>G1</t>
        </is>
      </c>
      <c r="E3501" t="inlineStr">
        <is>
          <t>HAITIANOS</t>
        </is>
      </c>
      <c r="F3501" t="inlineStr"/>
      <c r="G3501" t="inlineStr">
        <is>
          <t>1 AM</t>
        </is>
      </c>
      <c r="H3501" t="inlineStr">
        <is>
          <t>ASSEMBLEIA DEBATE MIGRAÇÃO DOS HAITIANOS NO AM, NESTA SEGUNDA-FEIRA</t>
        </is>
      </c>
      <c r="I3501" t="inlineStr"/>
      <c r="J3501">
        <f>HYPERLINK("http://g1.globo.com/am/amazonas/noticia/2012/02/assembleia-debate-imigracao-dos-haitianos-no-am-nesta-segunda-feira.html", "URL")</f>
        <v/>
      </c>
      <c r="K3501">
        <f>HYPERLINK("https://raw.githubusercontent.com/marcosmapl/dataset_imigrantes/main/noticias_filtered/g1/haitianos/2012/01_fev/html/g1_d9c5e0c8-22fa-11ed-b24f-6dbe51e79fca_2246.html", "HTML")</f>
        <v/>
      </c>
      <c r="L3501">
        <f>HYPERLINK("https://raw.githubusercontent.com/marcosmapl/dataset_imigrantes/main/noticias_filtered/g1/haitianos/2012/01_fev/txt/g1_d9c5e0c8-22fa-11ed-b24f-6dbe51e79fca_2246.txt", "TXT")</f>
        <v/>
      </c>
    </row>
    <row r="3502">
      <c r="A3502" s="1" t="n">
        <v>3500</v>
      </c>
      <c r="B3502" t="n">
        <v>2012</v>
      </c>
      <c r="C3502" s="2" t="n">
        <v>40965.6519675926</v>
      </c>
      <c r="D3502" t="inlineStr">
        <is>
          <t>A CRITICA</t>
        </is>
      </c>
      <c r="E3502" t="inlineStr">
        <is>
          <t>HAITIANOS</t>
        </is>
      </c>
      <c r="F3502" t="inlineStr">
        <is>
          <t>MANAUS</t>
        </is>
      </c>
      <c r="G3502" t="inlineStr">
        <is>
          <t>LEANDRO PRAZERES</t>
        </is>
      </c>
      <c r="H3502" t="inlineStr">
        <is>
          <t>SENADOR EDUARDO BRAGA (PMDB) AVALIA ONDA MIGRATÓRIA NO PAÍS</t>
        </is>
      </c>
      <c r="I3502" t="inlineStr">
        <is>
          <t>“O BRASIL NÃO PODE FICAR SÓ OLHANDO O PRÓPRIO UMBIGO”</t>
        </is>
      </c>
      <c r="J3502">
        <f>HYPERLINK("https://www.acritica.com/manaus/senador-eduardo-braga-pmdb-avalia-onda-migratoria-no-pais-1.105243", "URL")</f>
        <v/>
      </c>
      <c r="K3502">
        <f>HYPERLINK("https://raw.githubusercontent.com/marcosmapl/dataset_imigrantes/main/noticias_filtered/a_critica/haitianos/2012/01_fev/html/1.105243_1198.html", "HTML")</f>
        <v/>
      </c>
      <c r="L3502">
        <f>HYPERLINK("https://raw.githubusercontent.com/marcosmapl/dataset_imigrantes/main/noticias_filtered/a_critica/haitianos/2012/01_fev/txt/1.105243_1198.txt", "TXT")</f>
        <v/>
      </c>
    </row>
    <row r="3503">
      <c r="A3503" s="1" t="n">
        <v>3501</v>
      </c>
      <c r="B3503" t="n">
        <v>2012</v>
      </c>
      <c r="C3503" s="2" t="n">
        <v>40963.68333333333</v>
      </c>
      <c r="D3503" t="inlineStr">
        <is>
          <t>G1</t>
        </is>
      </c>
      <c r="E3503" t="inlineStr">
        <is>
          <t>HAITIANOS</t>
        </is>
      </c>
      <c r="F3503" t="inlineStr"/>
      <c r="G3503" t="inlineStr">
        <is>
          <t>CE PRESSE</t>
        </is>
      </c>
      <c r="H3503" t="inlineStr">
        <is>
          <t>PRIMEIRO-MINISTRO HAITIANO APRESENTA RENÚNCIA</t>
        </is>
      </c>
      <c r="I3503" t="inlineStr"/>
      <c r="J3503">
        <f>HYPERLINK("http://g1.globo.com/mundo/noticia/2012/02/primeiro-ministro-haitiano-apresenta-renuncia.html", "URL")</f>
        <v/>
      </c>
      <c r="K3503">
        <f>HYPERLINK("https://raw.githubusercontent.com/marcosmapl/dataset_imigrantes/main/noticias_filtered/g1/haitianos/2012/01_fev/html/g1_b38f7bba-2306-11ed-b24f-6dbe51e79fca_2274.html", "HTML")</f>
        <v/>
      </c>
      <c r="L3503">
        <f>HYPERLINK("https://raw.githubusercontent.com/marcosmapl/dataset_imigrantes/main/noticias_filtered/g1/haitianos/2012/01_fev/txt/g1_b38f7bba-2306-11ed-b24f-6dbe51e79fca_2274.txt", "TXT")</f>
        <v/>
      </c>
    </row>
    <row r="3504">
      <c r="A3504" s="1" t="n">
        <v>3502</v>
      </c>
      <c r="B3504" t="n">
        <v>2012</v>
      </c>
      <c r="C3504" s="2" t="n">
        <v>40963.28333333333</v>
      </c>
      <c r="D3504" t="inlineStr">
        <is>
          <t>G1</t>
        </is>
      </c>
      <c r="E3504" t="inlineStr">
        <is>
          <t>HAITIANOS</t>
        </is>
      </c>
      <c r="F3504" t="inlineStr"/>
      <c r="G3504" t="inlineStr">
        <is>
          <t>LOBO RURAL</t>
        </is>
      </c>
      <c r="H3504" t="inlineStr">
        <is>
          <t>HAITIANOS ENCONTRAM NOVA VIDA NAS LAVOURAS DO SUL DE MINAS GERAIS</t>
        </is>
      </c>
      <c r="I3504" t="inlineStr"/>
      <c r="J3504">
        <f>HYPERLINK("http://g1.globo.com/economia/agronegocios/noticia/2012/02/haitianos-encontram-nova-vida-nas-lavouras-do-sul-de-minas-gerais.html", "URL")</f>
        <v/>
      </c>
      <c r="K3504">
        <f>HYPERLINK("https://raw.githubusercontent.com/marcosmapl/dataset_imigrantes/main/noticias_filtered/g1/haitianos/2012/01_fev/html/g1_9e7b513a-22ee-11ed-b24f-6dbe51e79fca_1706.html", "HTML")</f>
        <v/>
      </c>
      <c r="L3504">
        <f>HYPERLINK("https://raw.githubusercontent.com/marcosmapl/dataset_imigrantes/main/noticias_filtered/g1/haitianos/2012/01_fev/txt/g1_9e7b513a-22ee-11ed-b24f-6dbe51e79fca_1706.txt", "TXT")</f>
        <v/>
      </c>
    </row>
    <row r="3505">
      <c r="A3505" s="1" t="n">
        <v>3503</v>
      </c>
      <c r="B3505" t="n">
        <v>2012</v>
      </c>
      <c r="C3505" s="2" t="n">
        <v>40962.45481481482</v>
      </c>
      <c r="D3505" t="inlineStr">
        <is>
          <t>A CRITICA</t>
        </is>
      </c>
      <c r="E3505" t="inlineStr">
        <is>
          <t>VENEZUELANOS</t>
        </is>
      </c>
      <c r="F3505" t="inlineStr">
        <is>
          <t>ESPORTES</t>
        </is>
      </c>
      <c r="G3505" t="inlineStr">
        <is>
          <t>JHONNY LIMA</t>
        </is>
      </c>
      <c r="H3505" t="inlineStr">
        <is>
          <t>BARCELONA DE MANAUS É TERCEIRO EM TORNEIO DE FUTEBOL, EM RORAIMA</t>
        </is>
      </c>
      <c r="I3505" t="inlineStr">
        <is>
          <t>A EQUIPE DO PROFESSOR NEDSON SILVA FEZ BONITO E SÓ PERDEU A SEMIFINAL PARA OS DONOS DA CASA, O EXTREMO NORTE, NOS PÊNALTIS</t>
        </is>
      </c>
      <c r="J3505">
        <f>HYPERLINK("https://www.acritica.com/esportes/barcelona-de-manaus-e-terceiro-em-torneio-de-futebol-em-roraima-1.166568", "URL")</f>
        <v/>
      </c>
      <c r="K3505">
        <f>HYPERLINK("https://raw.githubusercontent.com/marcosmapl/dataset_imigrantes/main/noticias_filtered/a_critica/venezuelanos/2012/01_fev/html/1.166568_1043.html", "HTML")</f>
        <v/>
      </c>
      <c r="L3505">
        <f>HYPERLINK("https://raw.githubusercontent.com/marcosmapl/dataset_imigrantes/main/noticias_filtered/a_critica/venezuelanos/2012/01_fev/txt/1.166568_1043.txt", "TXT")</f>
        <v/>
      </c>
    </row>
    <row r="3506">
      <c r="A3506" s="1" t="n">
        <v>3504</v>
      </c>
      <c r="B3506" t="n">
        <v>2012</v>
      </c>
      <c r="C3506" s="2" t="n">
        <v>40959.51804398148</v>
      </c>
      <c r="D3506" t="inlineStr">
        <is>
          <t>A CRITICA</t>
        </is>
      </c>
      <c r="E3506" t="inlineStr">
        <is>
          <t>HAITIANOS</t>
        </is>
      </c>
      <c r="F3506" t="inlineStr">
        <is>
          <t>ESPORTES</t>
        </is>
      </c>
      <c r="G3506" t="inlineStr">
        <is>
          <t>LORENNA SERRÃO</t>
        </is>
      </c>
      <c r="H3506" t="inlineStr">
        <is>
          <t>AMAZONENSES VENCEM HAITIANOS EM AMISTOSO</t>
        </is>
      </c>
      <c r="I3506" t="inlineStr">
        <is>
          <t>---</t>
        </is>
      </c>
      <c r="J3506">
        <f>HYPERLINK("https://www.acritica.com/esportes/amazonenses-vencem-haitianos-em-amistoso-1.137516", "URL")</f>
        <v/>
      </c>
      <c r="K3506">
        <f>HYPERLINK("https://raw.githubusercontent.com/marcosmapl/dataset_imigrantes/main/noticias_filtered/a_critica/haitianos/2012/01_fev/html/1.137516_160.html", "HTML")</f>
        <v/>
      </c>
      <c r="L3506">
        <f>HYPERLINK("https://raw.githubusercontent.com/marcosmapl/dataset_imigrantes/main/noticias_filtered/a_critica/haitianos/2012/01_fev/txt/1.137516_160.txt", "TXT")</f>
        <v/>
      </c>
    </row>
    <row r="3507">
      <c r="A3507" s="1" t="n">
        <v>3505</v>
      </c>
      <c r="B3507" t="n">
        <v>2012</v>
      </c>
      <c r="C3507" s="2" t="n">
        <v>40958.98194444444</v>
      </c>
      <c r="D3507" t="inlineStr">
        <is>
          <t>A CRITICA</t>
        </is>
      </c>
      <c r="E3507" t="inlineStr">
        <is>
          <t>HAITIANOS</t>
        </is>
      </c>
      <c r="F3507" t="inlineStr"/>
      <c r="G3507" t="inlineStr">
        <is>
          <t>LORENNA SERRÃO</t>
        </is>
      </c>
      <c r="H3507" t="inlineStr">
        <is>
          <t>HAITIANO SONHA SER JOGADOR DE FUTEBOL NO AMAZONAS</t>
        </is>
      </c>
      <c r="I3507" t="inlineStr">
        <is>
          <t>UMA PARTIDA ENTRE IMIGRANTES HAITIANOS,  EX-JOGADORES PROFISSIONAIS DE TIMES DO HAITI, QUE TAMBÉM SÃO FÃS DO FLAMENGO E DO R10, FOI REALIZADA NESTE DOMINGO, EM MANAUS</t>
        </is>
      </c>
      <c r="J3507">
        <f>HYPERLINK("https://www.acritica.com/haitiano-sonha-ser-jogador-de-futebol-no-amazonas-1.105479", "URL")</f>
        <v/>
      </c>
      <c r="K3507">
        <f>HYPERLINK("https://raw.githubusercontent.com/marcosmapl/dataset_imigrantes/main/noticias_filtered/a_critica/haitianos/2012/01_fev/html/1.105479_1357.html", "HTML")</f>
        <v/>
      </c>
      <c r="L3507">
        <f>HYPERLINK("https://raw.githubusercontent.com/marcosmapl/dataset_imigrantes/main/noticias_filtered/a_critica/haitianos/2012/01_fev/txt/1.105479_1357.txt", "TXT")</f>
        <v/>
      </c>
    </row>
    <row r="3508">
      <c r="A3508" s="1" t="n">
        <v>3506</v>
      </c>
      <c r="B3508" t="n">
        <v>2012</v>
      </c>
      <c r="C3508" s="2" t="n">
        <v>40957.92618055556</v>
      </c>
      <c r="D3508" t="inlineStr">
        <is>
          <t>A CRITICA</t>
        </is>
      </c>
      <c r="E3508" t="inlineStr">
        <is>
          <t>HAITIANOS</t>
        </is>
      </c>
      <c r="F3508" t="inlineStr">
        <is>
          <t>ENTRETENIMENTO</t>
        </is>
      </c>
      <c r="G3508" t="inlineStr">
        <is>
          <t>MILTON DE OLIVEIRA</t>
        </is>
      </c>
      <c r="H3508" t="inlineStr">
        <is>
          <t>GRUPO DE HAITIANOS QUE VIVE EM MANAUS VAI CAIR NA FOLIA NESTE CARNAVAL</t>
        </is>
      </c>
      <c r="I3508" t="inlineStr">
        <is>
          <t>PELO MENOS 15 IMIGRANTES FARÃO PARTE DA APRESENTAÇÃO DA VITÓRIA RÉGIA, A PENÚLTIMA ESCOLA A DESFILAR NA MADRUGADA DE DOMINGO</t>
        </is>
      </c>
      <c r="J3508">
        <f>HYPERLINK("https://www.acritica.com/entretenimento/grupo-de-haitianos-que-vive-em-manaus-vai-cair-na-folia-neste-carnaval-1.166426", "URL")</f>
        <v/>
      </c>
      <c r="K3508">
        <f>HYPERLINK("https://raw.githubusercontent.com/marcosmapl/dataset_imigrantes/main/noticias_filtered/a_critica/haitianos/2012/01_fev/html/1.166426_6.html", "HTML")</f>
        <v/>
      </c>
      <c r="L3508">
        <f>HYPERLINK("https://raw.githubusercontent.com/marcosmapl/dataset_imigrantes/main/noticias_filtered/a_critica/haitianos/2012/01_fev/txt/1.166426_6.txt", "TXT")</f>
        <v/>
      </c>
    </row>
    <row r="3509">
      <c r="A3509" s="1" t="n">
        <v>3507</v>
      </c>
      <c r="B3509" t="n">
        <v>2012</v>
      </c>
      <c r="C3509" s="2" t="n">
        <v>40957.81196759259</v>
      </c>
      <c r="D3509" t="inlineStr">
        <is>
          <t>A CRITICA</t>
        </is>
      </c>
      <c r="E3509" t="inlineStr">
        <is>
          <t>HAITIANOS</t>
        </is>
      </c>
      <c r="F3509" t="inlineStr"/>
      <c r="G3509" t="inlineStr">
        <is>
          <t>DÉBORA ZAMPIER /AGÊNCIA BRASIL</t>
        </is>
      </c>
      <c r="H3509" t="inlineStr">
        <is>
          <t>PROCESSO SOBRE HAITIANOS NO BRASIL CORRE EM SEGREDO DE JUSTIÇA</t>
        </is>
      </c>
      <c r="I3509" t="inlineStr">
        <is>
          <t>A ALEGAÇÃO DA  JUSTIÇA É DE QUE O PROCESSO COLOCADO SOB SIGILO SEJA PARA PREVENIR PERTURBAÇÕES INTERNACIONAIS</t>
        </is>
      </c>
      <c r="J3509">
        <f>HYPERLINK("https://www.acritica.com/processo-sobre-haitianos-no-brasil-corre-em-segredo-de-justica-1.166442", "URL")</f>
        <v/>
      </c>
      <c r="K3509">
        <f>HYPERLINK("https://raw.githubusercontent.com/marcosmapl/dataset_imigrantes/main/noticias_filtered/a_critica/haitianos/2012/01_fev/html/1.166442_748.html", "HTML")</f>
        <v/>
      </c>
      <c r="L3509">
        <f>HYPERLINK("https://raw.githubusercontent.com/marcosmapl/dataset_imigrantes/main/noticias_filtered/a_critica/haitianos/2012/01_fev/txt/1.166442_748.txt", "TXT")</f>
        <v/>
      </c>
    </row>
    <row r="3510">
      <c r="A3510" s="1" t="n">
        <v>3508</v>
      </c>
      <c r="B3510" t="n">
        <v>2012</v>
      </c>
      <c r="C3510" s="2" t="n">
        <v>40956.97916666666</v>
      </c>
      <c r="D3510" t="inlineStr">
        <is>
          <t>G1</t>
        </is>
      </c>
      <c r="E3510" t="inlineStr">
        <is>
          <t>HAITIANOS</t>
        </is>
      </c>
      <c r="F3510" t="inlineStr"/>
      <c r="G3510" t="inlineStr">
        <is>
          <t>CIA EFE</t>
        </is>
      </c>
      <c r="H3510" t="inlineStr">
        <is>
          <t>INUNDAÇÕES AFETAM OS HAITIANOS NA FRONTEIRA ENTRE PERU E BRASIL</t>
        </is>
      </c>
      <c r="I3510" t="inlineStr"/>
      <c r="J3510">
        <f>HYPERLINK("http://g1.globo.com/mundo/noticia/2012/02/inundacoes-afetam-os-haitianos-na-fronteira-entre-peru-e-brasil.html", "URL")</f>
        <v/>
      </c>
      <c r="K3510">
        <f>HYPERLINK("https://raw.githubusercontent.com/marcosmapl/dataset_imigrantes/main/noticias_filtered/g1/haitianos/2012/01_fev/html/g1_c8decd4e-22f8-11ed-b24f-6dbe51e79fca_2157.html", "HTML")</f>
        <v/>
      </c>
      <c r="L3510">
        <f>HYPERLINK("https://raw.githubusercontent.com/marcosmapl/dataset_imigrantes/main/noticias_filtered/g1/haitianos/2012/01_fev/txt/g1_c8decd4e-22f8-11ed-b24f-6dbe51e79fca_2157.txt", "TXT")</f>
        <v/>
      </c>
    </row>
    <row r="3511">
      <c r="A3511" s="1" t="n">
        <v>3509</v>
      </c>
      <c r="B3511" t="n">
        <v>2012</v>
      </c>
      <c r="C3511" s="2" t="n">
        <v>40956.35208333333</v>
      </c>
      <c r="D3511" t="inlineStr">
        <is>
          <t>G1</t>
        </is>
      </c>
      <c r="E3511" t="inlineStr">
        <is>
          <t>VENEZUELANOS</t>
        </is>
      </c>
      <c r="F3511" t="inlineStr"/>
      <c r="G3511" t="inlineStr">
        <is>
          <t>RANCE PRESSE</t>
        </is>
      </c>
      <c r="H3511" t="inlineStr">
        <is>
          <t>CHÁVEZ CHAMA CANDIDATO DA OPOSIÇÃO VENEZUELANA DE 'PORCO'</t>
        </is>
      </c>
      <c r="I3511" t="inlineStr"/>
      <c r="J3511">
        <f>HYPERLINK("http://g1.globo.com/mundo/noticia/2012/02/chavez-chama-candidato-da-oposicao-capriles-de-porco.html", "URL")</f>
        <v/>
      </c>
      <c r="K3511">
        <f>HYPERLINK("https://raw.githubusercontent.com/marcosmapl/dataset_imigrantes/main/noticias_filtered/g1/venezuelanos/2012/01_fev/html/g1_323f0fd8-2312-11ed-b24f-6dbe51e79fca_2955.html", "HTML")</f>
        <v/>
      </c>
      <c r="L3511">
        <f>HYPERLINK("https://raw.githubusercontent.com/marcosmapl/dataset_imigrantes/main/noticias_filtered/g1/venezuelanos/2012/01_fev/txt/g1_323f0fd8-2312-11ed-b24f-6dbe51e79fca_2955.txt", "TXT")</f>
        <v/>
      </c>
    </row>
    <row r="3512">
      <c r="A3512" s="1" t="n">
        <v>3510</v>
      </c>
      <c r="B3512" t="n">
        <v>2012</v>
      </c>
      <c r="C3512" s="2" t="n">
        <v>40955.42770833334</v>
      </c>
      <c r="D3512" t="inlineStr">
        <is>
          <t>A CRITICA</t>
        </is>
      </c>
      <c r="E3512" t="inlineStr">
        <is>
          <t>HAITIANOS</t>
        </is>
      </c>
      <c r="F3512" t="inlineStr">
        <is>
          <t>ESPORTES</t>
        </is>
      </c>
      <c r="G3512" t="inlineStr">
        <is>
          <t>NATHÁLIA SILVEIRA</t>
        </is>
      </c>
      <c r="H3512" t="inlineStr">
        <is>
          <t>HAITIANOS E AMAZONENSES DISPUTAM PARTIDA DE FUTEBOL, EM MANAUS</t>
        </is>
      </c>
      <c r="I3512" t="inlineStr">
        <is>
          <t>O JOGO ACONTECERÁ NO CAMPO DO NÚCLEO 9 DA CIDADE NOVA, ZONA NORTE, A PARTIR DAS 16H</t>
        </is>
      </c>
      <c r="J3512">
        <f>HYPERLINK("https://www.acritica.com/esportes/haitianos-e-amazonenses-disputam-partida-de-futebol-em-manaus-1.166089", "URL")</f>
        <v/>
      </c>
      <c r="K3512">
        <f>HYPERLINK("https://raw.githubusercontent.com/marcosmapl/dataset_imigrantes/main/noticias_filtered/a_critica/haitianos/2012/01_fev/html/1.166089_440.html", "HTML")</f>
        <v/>
      </c>
      <c r="L3512">
        <f>HYPERLINK("https://raw.githubusercontent.com/marcosmapl/dataset_imigrantes/main/noticias_filtered/a_critica/haitianos/2012/01_fev/txt/1.166089_440.txt", "TXT")</f>
        <v/>
      </c>
    </row>
    <row r="3513">
      <c r="A3513" s="1" t="n">
        <v>3511</v>
      </c>
      <c r="B3513" t="n">
        <v>2012</v>
      </c>
      <c r="C3513" s="2" t="n">
        <v>40953.97291666667</v>
      </c>
      <c r="D3513" t="inlineStr">
        <is>
          <t>G1</t>
        </is>
      </c>
      <c r="E3513" t="inlineStr">
        <is>
          <t>HAITIANOS</t>
        </is>
      </c>
      <c r="F3513" t="inlineStr"/>
      <c r="G3513" t="inlineStr">
        <is>
          <t>1 AM</t>
        </is>
      </c>
      <c r="H3513" t="inlineStr">
        <is>
          <t>FUNDAÇÃO REALIZA MOBILIZAÇÃO DE SAÚDE EM ABRIGO HAITIANO EM MANAUS</t>
        </is>
      </c>
      <c r="I3513" t="inlineStr"/>
      <c r="J3513">
        <f>HYPERLINK("http://g1.globo.com/am/amazonas/noticia/2012/02/fundacao-realiza-mobilizacao-de-saude-em-abrigo-haitiano-em-manaus.html", "URL")</f>
        <v/>
      </c>
      <c r="K3513">
        <f>HYPERLINK("https://raw.githubusercontent.com/marcosmapl/dataset_imigrantes/main/noticias_filtered/g1/haitianos/2012/01_fev/html/g1_87e7ad56-2316-11ed-b24f-6dbe51e79fca_3153.html", "HTML")</f>
        <v/>
      </c>
      <c r="L3513">
        <f>HYPERLINK("https://raw.githubusercontent.com/marcosmapl/dataset_imigrantes/main/noticias_filtered/g1/haitianos/2012/01_fev/txt/g1_87e7ad56-2316-11ed-b24f-6dbe51e79fca_3153.txt", "TXT")</f>
        <v/>
      </c>
    </row>
    <row r="3514">
      <c r="A3514" s="1" t="n">
        <v>3512</v>
      </c>
      <c r="B3514" t="n">
        <v>2012</v>
      </c>
      <c r="C3514" s="2" t="n">
        <v>40953.51851851852</v>
      </c>
      <c r="D3514" t="inlineStr">
        <is>
          <t>A CRITICA</t>
        </is>
      </c>
      <c r="E3514" t="inlineStr">
        <is>
          <t>HAITIANOS</t>
        </is>
      </c>
      <c r="F3514" t="inlineStr">
        <is>
          <t>MANAUS</t>
        </is>
      </c>
      <c r="G3514" t="inlineStr">
        <is>
          <t>ACRÍTICA.COM</t>
        </is>
      </c>
      <c r="H3514" t="inlineStr">
        <is>
          <t>IMIGRAÇÃO DE HAITIANOS NO PAÍS VOLTA À PAUTA DO SENADO NESTA TERÇA-FEIRA (14)</t>
        </is>
      </c>
      <c r="I3514" t="inlineStr">
        <is>
          <t>A REUNIÃO FOI SOLICITADA NESSA SEGUNDA-FEIRA (13), PELO SENADOR EDUARDO BRAGA (PMDB) DURANTE AUDIÊNCIA PÚBLICA PARA DISCUTIR O ASSUNTO NA COMISSÃO DE RELAÇÕES EXTERIORES DO SENADO (CRE)</t>
        </is>
      </c>
      <c r="J3514">
        <f>HYPERLINK("https://www.acritica.com/manaus/imigrac-o-de-haitianos-no-pais-volta-a-pauta-do-senado-nesta-terca-feira-14-1.117559", "URL")</f>
        <v/>
      </c>
      <c r="K3514">
        <f>HYPERLINK("https://raw.githubusercontent.com/marcosmapl/dataset_imigrantes/main/noticias_filtered/a_critica/haitianos/2012/01_fev/html/1.117559_1250.html", "HTML")</f>
        <v/>
      </c>
      <c r="L3514">
        <f>HYPERLINK("https://raw.githubusercontent.com/marcosmapl/dataset_imigrantes/main/noticias_filtered/a_critica/haitianos/2012/01_fev/txt/1.117559_1250.txt", "TXT")</f>
        <v/>
      </c>
    </row>
    <row r="3515">
      <c r="A3515" s="1" t="n">
        <v>3513</v>
      </c>
      <c r="B3515" t="n">
        <v>2012</v>
      </c>
      <c r="C3515" s="2" t="n">
        <v>40953.4182175926</v>
      </c>
      <c r="D3515" t="inlineStr">
        <is>
          <t>A CRITICA</t>
        </is>
      </c>
      <c r="E3515" t="inlineStr">
        <is>
          <t>HAITIANOS</t>
        </is>
      </c>
      <c r="F3515" t="inlineStr">
        <is>
          <t>MANAUS</t>
        </is>
      </c>
      <c r="G3515" t="inlineStr">
        <is>
          <t>MILTON DE OLIVEIRA</t>
        </is>
      </c>
      <c r="H3515" t="inlineStr">
        <is>
          <t>HAITIANAS NÃO PERDEM A ESPERANÇA EM MANAUS</t>
        </is>
      </c>
      <c r="I3515" t="inlineStr">
        <is>
          <t>ALOJADAS NA CASA DE RETIRO DOS CAPUCHINHOS, MUITAS SONHAM EM CONCLUIR OS ESTUDOS E SER ENFERMEIRAS</t>
        </is>
      </c>
      <c r="J3515">
        <f>HYPERLINK("https://www.acritica.com/manaus/haitianas-n-o-perdem-a-esperanca-em-manaus-1.117569", "URL")</f>
        <v/>
      </c>
      <c r="K3515">
        <f>HYPERLINK("https://raw.githubusercontent.com/marcosmapl/dataset_imigrantes/main/noticias_filtered/a_critica/haitianos/2012/01_fev/html/1.117569_846.html", "HTML")</f>
        <v/>
      </c>
      <c r="L3515">
        <f>HYPERLINK("https://raw.githubusercontent.com/marcosmapl/dataset_imigrantes/main/noticias_filtered/a_critica/haitianos/2012/01_fev/txt/1.117569_846.txt", "TXT")</f>
        <v/>
      </c>
    </row>
    <row r="3516">
      <c r="A3516" s="1" t="n">
        <v>3514</v>
      </c>
      <c r="B3516" t="n">
        <v>2012</v>
      </c>
      <c r="C3516" s="2" t="n">
        <v>40952.95731481481</v>
      </c>
      <c r="D3516" t="inlineStr">
        <is>
          <t>A CRITICA</t>
        </is>
      </c>
      <c r="E3516" t="inlineStr">
        <is>
          <t>HAITIANOS</t>
        </is>
      </c>
      <c r="F3516" t="inlineStr">
        <is>
          <t>MANAUS</t>
        </is>
      </c>
      <c r="G3516" t="inlineStr">
        <is>
          <t>ACRÍTICA.COM</t>
        </is>
      </c>
      <c r="H3516" t="inlineStr">
        <is>
          <t>SENADOR QUER QUE GOVERNO FEDERAL ADOTE MEDITAS QUANTO A IMIGRANTES HAITIANOS NO AM</t>
        </is>
      </c>
      <c r="I3516" t="inlineStr">
        <is>
          <t>EDUARDO BRAGA TAMBÉM PEDIU UMA SOLUÇÃO DO GOVERNO BRASILEIRO PARA O IMPASSE EM QUE VIVEM 343 IMIGRANTES DO HAITI QUE ESTÃO NA CIDADE DE TABATINGA EM SITUAÇÃO IRREGULAR</t>
        </is>
      </c>
      <c r="J3516">
        <f>HYPERLINK("https://www.acritica.com/manaus/senador-quer-que-governo-federal-adote-meditas-quanto-a-imigrantes-haitianos-no-am-1.117577", "URL")</f>
        <v/>
      </c>
      <c r="K3516">
        <f>HYPERLINK("https://raw.githubusercontent.com/marcosmapl/dataset_imigrantes/main/noticias_filtered/a_critica/haitianos/2012/01_fev/html/1.117577_1360.html", "HTML")</f>
        <v/>
      </c>
      <c r="L3516">
        <f>HYPERLINK("https://raw.githubusercontent.com/marcosmapl/dataset_imigrantes/main/noticias_filtered/a_critica/haitianos/2012/01_fev/txt/1.117577_1360.txt", "TXT")</f>
        <v/>
      </c>
    </row>
    <row r="3517">
      <c r="A3517" s="1" t="n">
        <v>3515</v>
      </c>
      <c r="B3517" t="n">
        <v>2012</v>
      </c>
      <c r="C3517" s="2" t="n">
        <v>40952.86666666667</v>
      </c>
      <c r="D3517" t="inlineStr">
        <is>
          <t>G1</t>
        </is>
      </c>
      <c r="E3517" t="inlineStr">
        <is>
          <t>HAITIANOS</t>
        </is>
      </c>
      <c r="F3517" t="inlineStr"/>
      <c r="G3517" t="inlineStr">
        <is>
          <t>ALIA PASSARINHODO G1, EM BRASÍLIA</t>
        </is>
      </c>
      <c r="H3517" t="inlineStr">
        <is>
          <t>GOVERNO NÃO VAI DEPORTAR HAITIANOS QUE IMIGRARAM ILEGALMENTE, DIZ MJ</t>
        </is>
      </c>
      <c r="I3517" t="inlineStr"/>
      <c r="J3517">
        <f>HYPERLINK("http://g1.globo.com/politica/noticia/2012/02/governo-nao-vai-deportar-haitianos-que-imigraram-ilegalmente-diz-mj.html", "URL")</f>
        <v/>
      </c>
      <c r="K3517">
        <f>HYPERLINK("https://raw.githubusercontent.com/marcosmapl/dataset_imigrantes/main/noticias_filtered/g1/haitianos/2012/01_fev/html/g1_891f53d4-22fa-11ed-b24f-6dbe51e79fca_2226.html", "HTML")</f>
        <v/>
      </c>
      <c r="L3517">
        <f>HYPERLINK("https://raw.githubusercontent.com/marcosmapl/dataset_imigrantes/main/noticias_filtered/g1/haitianos/2012/01_fev/txt/g1_891f53d4-22fa-11ed-b24f-6dbe51e79fca_2226.txt", "TXT")</f>
        <v/>
      </c>
    </row>
    <row r="3518">
      <c r="A3518" s="1" t="n">
        <v>3516</v>
      </c>
      <c r="B3518" t="n">
        <v>2012</v>
      </c>
      <c r="C3518" s="2" t="n">
        <v>40952.85625</v>
      </c>
      <c r="D3518" t="inlineStr">
        <is>
          <t>G1</t>
        </is>
      </c>
      <c r="E3518" t="inlineStr">
        <is>
          <t>HAITIANOS</t>
        </is>
      </c>
      <c r="F3518" t="inlineStr"/>
      <c r="G3518" t="inlineStr">
        <is>
          <t>1 MT</t>
        </is>
      </c>
      <c r="H3518" t="inlineStr">
        <is>
          <t>AUDITORES FISCALIZAM FÁBRICA EM MT APÓS CONTRATAÇÃO DE HAITIANOS</t>
        </is>
      </c>
      <c r="I3518" t="inlineStr"/>
      <c r="J3518">
        <f>HYPERLINK("http://g1.globo.com/mato-grosso/noticia/2012/02/auditores-fiscalizam-fabrica-em-mt-apos-contratacao-de-haitianos.html", "URL")</f>
        <v/>
      </c>
      <c r="K3518">
        <f>HYPERLINK("https://raw.githubusercontent.com/marcosmapl/dataset_imigrantes/main/noticias_filtered/g1/haitianos/2012/01_fev/html/g1_ba836282-22f8-11ed-b24f-6dbe51e79fca_2154.html", "HTML")</f>
        <v/>
      </c>
      <c r="L3518">
        <f>HYPERLINK("https://raw.githubusercontent.com/marcosmapl/dataset_imigrantes/main/noticias_filtered/g1/haitianos/2012/01_fev/txt/g1_ba836282-22f8-11ed-b24f-6dbe51e79fca_2154.txt", "TXT")</f>
        <v/>
      </c>
    </row>
    <row r="3519">
      <c r="A3519" s="1" t="n">
        <v>3517</v>
      </c>
      <c r="B3519" t="n">
        <v>2012</v>
      </c>
      <c r="C3519" s="2" t="n">
        <v>40952.8172337963</v>
      </c>
      <c r="D3519" t="inlineStr">
        <is>
          <t>A CRITICA</t>
        </is>
      </c>
      <c r="E3519" t="inlineStr">
        <is>
          <t>HAITIANOS</t>
        </is>
      </c>
      <c r="F3519" t="inlineStr">
        <is>
          <t>MANAUS</t>
        </is>
      </c>
      <c r="G3519" t="inlineStr">
        <is>
          <t>ACRÍTICA.COM</t>
        </is>
      </c>
      <c r="H3519" t="inlineStr">
        <is>
          <t>FVS/AM INICIA VACINAÇÃO DE IMIGRANTES HAITIANOS, EM MANAUS</t>
        </is>
      </c>
      <c r="I3519" t="inlineStr">
        <is>
          <t>NO TOTAL, SÃO SETE CASAS DE APOIO AOS HAITIANOS, AS QUAIS RECEBERÃO A SÉRIE DE AÇÕES VOLTADAS À MELHORIA DA SAÚD</t>
        </is>
      </c>
      <c r="J3519">
        <f>HYPERLINK("https://www.acritica.com/manaus/fvs-am-inicia-vacinac-o-de-imigrantes-haitianos-em-manaus-1.105757", "URL")</f>
        <v/>
      </c>
      <c r="K3519">
        <f>HYPERLINK("https://raw.githubusercontent.com/marcosmapl/dataset_imigrantes/main/noticias_filtered/a_critica/haitianos/2012/01_fev/html/1.105757_615.html", "HTML")</f>
        <v/>
      </c>
      <c r="L3519">
        <f>HYPERLINK("https://raw.githubusercontent.com/marcosmapl/dataset_imigrantes/main/noticias_filtered/a_critica/haitianos/2012/01_fev/txt/1.105757_615.txt", "TXT")</f>
        <v/>
      </c>
    </row>
    <row r="3520">
      <c r="A3520" s="1" t="n">
        <v>3518</v>
      </c>
      <c r="B3520" t="n">
        <v>2012</v>
      </c>
      <c r="C3520" s="2" t="n">
        <v>40952.56976851852</v>
      </c>
      <c r="D3520" t="inlineStr">
        <is>
          <t>A CRITICA</t>
        </is>
      </c>
      <c r="E3520" t="inlineStr">
        <is>
          <t>HAITIANOS</t>
        </is>
      </c>
      <c r="F3520" t="inlineStr">
        <is>
          <t>MANAUS</t>
        </is>
      </c>
      <c r="G3520" t="inlineStr">
        <is>
          <t>ACRÍTICA.COM</t>
        </is>
      </c>
      <c r="H3520" t="inlineStr">
        <is>
          <t>AUDIÊNCIA PÚBLICA NO SENADO DISCUTIRÁ IMIGRAÇÃO DE HAITIANOS NO PAÍS</t>
        </is>
      </c>
      <c r="I3520" t="inlineStr">
        <is>
          <t>A AUDIÊNCIA BUSCA CONTRIBUIR COM SOLUÇÕES PARA AS DIFICULDADES ENFRENTADAS PELOS IMIGRANTES DO HAITI QUE CHEGAM AO PAÍS PELAS FRONTEIRAS DA REGIÃO NORTE, ESPECIALMENTE NO ESTADO DO AMAZONAS E ACRE</t>
        </is>
      </c>
      <c r="J3520">
        <f>HYPERLINK("https://www.acritica.com/manaus/audiencia-publica-no-senado-discutira-imigrac-o-de-haitianos-no-pais-1.166192", "URL")</f>
        <v/>
      </c>
      <c r="K3520">
        <f>HYPERLINK("https://raw.githubusercontent.com/marcosmapl/dataset_imigrantes/main/noticias_filtered/a_critica/haitianos/2012/01_fev/html/1.166192_1168.html", "HTML")</f>
        <v/>
      </c>
      <c r="L3520">
        <f>HYPERLINK("https://raw.githubusercontent.com/marcosmapl/dataset_imigrantes/main/noticias_filtered/a_critica/haitianos/2012/01_fev/txt/1.166192_1168.txt", "TXT")</f>
        <v/>
      </c>
    </row>
    <row r="3521">
      <c r="A3521" s="1" t="n">
        <v>3519</v>
      </c>
      <c r="B3521" t="n">
        <v>2012</v>
      </c>
      <c r="C3521" s="2" t="n">
        <v>40952.43247685185</v>
      </c>
      <c r="D3521" t="inlineStr">
        <is>
          <t>A CRITICA</t>
        </is>
      </c>
      <c r="E3521" t="inlineStr">
        <is>
          <t>HAITIANOS</t>
        </is>
      </c>
      <c r="F3521" t="inlineStr">
        <is>
          <t>MANAUS</t>
        </is>
      </c>
      <c r="G3521" t="inlineStr">
        <is>
          <t>JORNAL A CRÍTICA</t>
        </is>
      </c>
      <c r="H3521" t="inlineStr">
        <is>
          <t>ENTIDADE PRÓ-HAITIANOS FARÁ RIFA VISANDO NOVA SEDE EM MANAUS</t>
        </is>
      </c>
      <c r="I3521" t="inlineStr">
        <is>
          <t>A PRESIDENTE DA ATHAM, A HAITIANA NATURALIZADA BRASILEIRA MARIE KETLY FRANCESCHI: SORTEIO MARCADO PARA 14 DE ABRIL</t>
        </is>
      </c>
      <c r="J3521">
        <f>HYPERLINK("https://www.acritica.com/manaus/entidade-pro-haitianos-fara-rifa-visando-nova-sede-em-manaus-1.165969", "URL")</f>
        <v/>
      </c>
      <c r="K3521">
        <f>HYPERLINK("https://raw.githubusercontent.com/marcosmapl/dataset_imigrantes/main/noticias_filtered/a_critica/haitianos/2012/01_fev/html/1.165969_15.html", "HTML")</f>
        <v/>
      </c>
      <c r="L3521">
        <f>HYPERLINK("https://raw.githubusercontent.com/marcosmapl/dataset_imigrantes/main/noticias_filtered/a_critica/haitianos/2012/01_fev/txt/1.165969_15.txt", "TXT")</f>
        <v/>
      </c>
    </row>
    <row r="3522">
      <c r="A3522" s="1" t="n">
        <v>3520</v>
      </c>
      <c r="B3522" t="n">
        <v>2012</v>
      </c>
      <c r="C3522" s="2" t="n">
        <v>40952.42430555556</v>
      </c>
      <c r="D3522" t="inlineStr">
        <is>
          <t>G1</t>
        </is>
      </c>
      <c r="E3522" t="inlineStr">
        <is>
          <t>HAITIANOS</t>
        </is>
      </c>
      <c r="F3522" t="inlineStr"/>
      <c r="G3522" t="inlineStr">
        <is>
          <t>1, EM SÃO PAULO</t>
        </is>
      </c>
      <c r="H3522" t="inlineStr">
        <is>
          <t>HAITIANO É FLAGRADO COM COBRAS ENROLADAS NA CABEÇA</t>
        </is>
      </c>
      <c r="I3522" t="inlineStr"/>
      <c r="J3522">
        <f>HYPERLINK("http://g1.globo.com/planeta-bizarro/noticia/2012/02/haitiano-e-flagrado-com-duas-cobras-enroladas-na-cabeca.html", "URL")</f>
        <v/>
      </c>
      <c r="K3522">
        <f>HYPERLINK("https://raw.githubusercontent.com/marcosmapl/dataset_imigrantes/main/noticias_filtered/g1/haitianos/2012/01_fev/html/g1_f697b62a-230b-11ed-b24f-6dbe51e79fca_2599.html", "HTML")</f>
        <v/>
      </c>
      <c r="L3522">
        <f>HYPERLINK("https://raw.githubusercontent.com/marcosmapl/dataset_imigrantes/main/noticias_filtered/g1/haitianos/2012/01_fev/txt/g1_f697b62a-230b-11ed-b24f-6dbe51e79fca_2599.txt", "TXT")</f>
        <v/>
      </c>
    </row>
    <row r="3523">
      <c r="A3523" s="1" t="n">
        <v>3521</v>
      </c>
      <c r="B3523" t="n">
        <v>2012</v>
      </c>
      <c r="C3523" s="2" t="n">
        <v>40951.80208333334</v>
      </c>
      <c r="D3523" t="inlineStr">
        <is>
          <t>G1</t>
        </is>
      </c>
      <c r="E3523" t="inlineStr">
        <is>
          <t>HAITIANOS</t>
        </is>
      </c>
      <c r="F3523" t="inlineStr"/>
      <c r="G3523" t="inlineStr">
        <is>
          <t>1 MT</t>
        </is>
      </c>
      <c r="H3523" t="inlineStr">
        <is>
          <t>'NÃO SE ADAPTARAM', DIZ EMPRESÁRIO DE MT SOBRE CONTRATAÇÃO DE HAITIANOS</t>
        </is>
      </c>
      <c r="I3523" t="inlineStr"/>
      <c r="J3523">
        <f>HYPERLINK("http://g1.globo.com/mato-grosso/noticia/2012/02/nao-se-adaptaram-diz-empresario-de-mt-sobre-contratacao-de-haitianos.html", "URL")</f>
        <v/>
      </c>
      <c r="K3523">
        <f>HYPERLINK("https://raw.githubusercontent.com/marcosmapl/dataset_imigrantes/main/noticias_filtered/g1/haitianos/2012/01_fev/html/g1_e452ed88-22f0-11ed-b24f-6dbe51e79fca_1724.html", "HTML")</f>
        <v/>
      </c>
      <c r="L3523">
        <f>HYPERLINK("https://raw.githubusercontent.com/marcosmapl/dataset_imigrantes/main/noticias_filtered/g1/haitianos/2012/01_fev/txt/g1_e452ed88-22f0-11ed-b24f-6dbe51e79fca_1724.txt", "TXT")</f>
        <v/>
      </c>
    </row>
    <row r="3524">
      <c r="A3524" s="1" t="n">
        <v>3522</v>
      </c>
      <c r="B3524" t="n">
        <v>2012</v>
      </c>
      <c r="C3524" s="2" t="n">
        <v>40950.90416666667</v>
      </c>
      <c r="D3524" t="inlineStr">
        <is>
          <t>G1</t>
        </is>
      </c>
      <c r="E3524" t="inlineStr">
        <is>
          <t>HAITIANOS</t>
        </is>
      </c>
      <c r="F3524" t="inlineStr"/>
      <c r="G3524" t="inlineStr">
        <is>
          <t>1 AM</t>
        </is>
      </c>
      <c r="H3524" t="inlineStr">
        <is>
          <t>HAITIANOS RECEBEM ATENDIMENTO MÉDICO GRATUITO EM MANAUS</t>
        </is>
      </c>
      <c r="I3524" t="inlineStr"/>
      <c r="J3524">
        <f>HYPERLINK("http://g1.globo.com/am/amazonas/noticia/2012/02/haitianos-recebem-atendimento-medico-gratuito-em-manaus.html", "URL")</f>
        <v/>
      </c>
      <c r="K3524">
        <f>HYPERLINK("https://raw.githubusercontent.com/marcosmapl/dataset_imigrantes/main/noticias_filtered/g1/haitianos/2012/01_fev/html/g1_d6dd112e-22fa-11ed-b24f-6dbe51e79fca_2245.html", "HTML")</f>
        <v/>
      </c>
      <c r="L3524">
        <f>HYPERLINK("https://raw.githubusercontent.com/marcosmapl/dataset_imigrantes/main/noticias_filtered/g1/haitianos/2012/01_fev/txt/g1_d6dd112e-22fa-11ed-b24f-6dbe51e79fca_2245.txt", "TXT")</f>
        <v/>
      </c>
    </row>
    <row r="3525">
      <c r="A3525" s="1" t="n">
        <v>3523</v>
      </c>
      <c r="B3525" t="n">
        <v>2012</v>
      </c>
      <c r="C3525" s="2" t="n">
        <v>40950.78383101852</v>
      </c>
      <c r="D3525" t="inlineStr">
        <is>
          <t>A CRITICA</t>
        </is>
      </c>
      <c r="E3525" t="inlineStr">
        <is>
          <t>HAITIANOS</t>
        </is>
      </c>
      <c r="F3525" t="inlineStr">
        <is>
          <t>MANAUS</t>
        </is>
      </c>
      <c r="G3525" t="inlineStr">
        <is>
          <t>THIAGO GONÇALVES</t>
        </is>
      </c>
      <c r="H3525" t="inlineStr">
        <is>
          <t>HAITIANOS BUSCAM INGRESSO NO MERCADO DE TRABALHO EM MANAUS</t>
        </is>
      </c>
      <c r="I3525" t="inlineStr">
        <is>
          <t>CERCA DE 300 IMIGRANTES HAITIANOS RECEBERAM CARTEIRAS DE TRABALHO. OUTROS 200 DERAM ENTRADA AO PROCESSO DE SOLICITAÇÃO DO DOCUMENTO, NO MUTIRÃO DA SRTE-AM, NA TARDE DESTA QUARTA-FEIRA (08)</t>
        </is>
      </c>
      <c r="J3525">
        <f>HYPERLINK("https://www.acritica.com/manaus/haitianos-buscam-ingresso-no-mercado-de-trabalho-em-manaus-1.117813", "URL")</f>
        <v/>
      </c>
      <c r="K3525">
        <f>HYPERLINK("https://raw.githubusercontent.com/marcosmapl/dataset_imigrantes/main/noticias_filtered/a_critica/haitianos/2012/01_fev/html/1.117813_600.html", "HTML")</f>
        <v/>
      </c>
      <c r="L3525">
        <f>HYPERLINK("https://raw.githubusercontent.com/marcosmapl/dataset_imigrantes/main/noticias_filtered/a_critica/haitianos/2012/01_fev/txt/1.117813_600.txt", "TXT")</f>
        <v/>
      </c>
    </row>
    <row r="3526">
      <c r="A3526" s="1" t="n">
        <v>3524</v>
      </c>
      <c r="B3526" t="n">
        <v>2012</v>
      </c>
      <c r="C3526" s="2" t="n">
        <v>40950.62373842593</v>
      </c>
      <c r="D3526" t="inlineStr">
        <is>
          <t>A CRITICA</t>
        </is>
      </c>
      <c r="E3526" t="inlineStr">
        <is>
          <t>HAITIANOS</t>
        </is>
      </c>
      <c r="F3526" t="inlineStr">
        <is>
          <t>MANAUS</t>
        </is>
      </c>
      <c r="G3526" t="inlineStr">
        <is>
          <t>SÍNTIA MACIEL E MILTON DE OLIVEIRA</t>
        </is>
      </c>
      <c r="H3526" t="inlineStr">
        <is>
          <t>MUTIRÃO DE SAÚDE EM MANAUS ATENDE MULHERES HAITIANAS</t>
        </is>
      </c>
      <c r="I3526" t="inlineStr">
        <is>
          <t>GRUPO ABRIGADO NO CENTRO FOI SUBMETIDO A COLETA DE SANGUE E TESTAGEM RÁPIDA DE ALGUMAS DOENÇAS, ALÉM DE RECEBER ORIENTAÇÕES SOBRE ATENDIMENTO DE SAÚDE</t>
        </is>
      </c>
      <c r="J3526">
        <f>HYPERLINK("https://www.acritica.com/manaus/mutir-o-de-saude-em-manaus-atende-mulheres-haitianas-1.166039", "URL")</f>
        <v/>
      </c>
      <c r="K3526">
        <f>HYPERLINK("https://raw.githubusercontent.com/marcosmapl/dataset_imigrantes/main/noticias_filtered/a_critica/haitianos/2012/01_fev/html/1.166039_465.html", "HTML")</f>
        <v/>
      </c>
      <c r="L3526">
        <f>HYPERLINK("https://raw.githubusercontent.com/marcosmapl/dataset_imigrantes/main/noticias_filtered/a_critica/haitianos/2012/01_fev/txt/1.166039_465.txt", "TXT")</f>
        <v/>
      </c>
    </row>
    <row r="3527">
      <c r="A3527" s="1" t="n">
        <v>3525</v>
      </c>
      <c r="B3527" t="n">
        <v>2012</v>
      </c>
      <c r="C3527" s="2" t="n">
        <v>40949.84990740741</v>
      </c>
      <c r="D3527" t="inlineStr">
        <is>
          <t>A CRITICA</t>
        </is>
      </c>
      <c r="E3527" t="inlineStr">
        <is>
          <t>HAITIANOS</t>
        </is>
      </c>
      <c r="F3527" t="inlineStr">
        <is>
          <t>MANAUS</t>
        </is>
      </c>
      <c r="G3527" t="inlineStr">
        <is>
          <t>ACRÍTICA.COM</t>
        </is>
      </c>
      <c r="H3527" t="inlineStr">
        <is>
          <t>GOVERNO DO AMAZONAS REALIZA AÇÕES DE SAÚDE COM IMIGRANTES HAITIANOS</t>
        </is>
      </c>
      <c r="I3527" t="inlineStr">
        <is>
          <t>DE ACORDO COM O GOVERNO, TODOS OS ALOJAMENTOS DOS IMIGRANTES HAITIANOS EM MANAUS RECEBERÃO A SÉRIE DE AÇÕES. AS DATAS ESTÃO SENDO AGENDADA</t>
        </is>
      </c>
      <c r="J3527">
        <f>HYPERLINK("https://www.acritica.com/manaus/governo-do-amazonas-realiza-ac-es-de-saude-com-imigrantes-haitianos-1.166081", "URL")</f>
        <v/>
      </c>
      <c r="K3527">
        <f>HYPERLINK("https://raw.githubusercontent.com/marcosmapl/dataset_imigrantes/main/noticias_filtered/a_critica/haitianos/2012/01_fev/html/1.166081_1218.html", "HTML")</f>
        <v/>
      </c>
      <c r="L3527">
        <f>HYPERLINK("https://raw.githubusercontent.com/marcosmapl/dataset_imigrantes/main/noticias_filtered/a_critica/haitianos/2012/01_fev/txt/1.166081_1218.txt", "TXT")</f>
        <v/>
      </c>
    </row>
    <row r="3528">
      <c r="A3528" s="1" t="n">
        <v>3526</v>
      </c>
      <c r="B3528" t="n">
        <v>2012</v>
      </c>
      <c r="C3528" s="2" t="n">
        <v>40949.55581018519</v>
      </c>
      <c r="D3528" t="inlineStr">
        <is>
          <t>A CRITICA</t>
        </is>
      </c>
      <c r="E3528" t="inlineStr">
        <is>
          <t>HAITIANOS</t>
        </is>
      </c>
      <c r="F3528" t="inlineStr">
        <is>
          <t>MANAUS</t>
        </is>
      </c>
      <c r="G3528" t="inlineStr">
        <is>
          <t>ACRÍTICA.COM</t>
        </is>
      </c>
      <c r="H3528" t="inlineStr">
        <is>
          <t>CPI DO TRÁFICO DE PESSOAS DO SENADO FARÁ AUDIÊNCIA PARA DEBATER IMIGRAÇÃO DE HAITIANOS</t>
        </is>
      </c>
      <c r="I3528" t="inlineStr">
        <is>
          <t>PARA FUGIR DA MISÉRIA EM SEU PAÍS, QUE SE AGRAVOU APÓS O TERREMOTO OCORRIDO EM 2010, MUITOS HAITIANOS VÊM ENTRANDO NO BRASIL DE FORMA IRREGULAR, CONDUZIDOS POR "COIOTES" - HOMENS QUE COBRAM PARA GUIAR IMIGRANTES CLANDESTINOS PELA FRONTEIRA ENTRE DOIS PAÍSES</t>
        </is>
      </c>
      <c r="J3528">
        <f>HYPERLINK("https://www.acritica.com/manaus/cpi-do-trafico-de-pessoas-do-senado-fara-audiencia-para-debater-imigrac-o-de-haitianos-1.165882", "URL")</f>
        <v/>
      </c>
      <c r="K3528">
        <f>HYPERLINK("https://raw.githubusercontent.com/marcosmapl/dataset_imigrantes/main/noticias_filtered/a_critica/haitianos/2012/01_fev/html/1.165882_356.html", "HTML")</f>
        <v/>
      </c>
      <c r="L3528">
        <f>HYPERLINK("https://raw.githubusercontent.com/marcosmapl/dataset_imigrantes/main/noticias_filtered/a_critica/haitianos/2012/01_fev/txt/1.165882_356.txt", "TXT")</f>
        <v/>
      </c>
    </row>
    <row r="3529">
      <c r="A3529" s="1" t="n">
        <v>3527</v>
      </c>
      <c r="B3529" t="n">
        <v>2012</v>
      </c>
      <c r="C3529" s="2" t="n">
        <v>40948.93052083333</v>
      </c>
      <c r="D3529" t="inlineStr">
        <is>
          <t>A CRITICA</t>
        </is>
      </c>
      <c r="E3529" t="inlineStr">
        <is>
          <t>HAITIANOS</t>
        </is>
      </c>
      <c r="F3529" t="inlineStr">
        <is>
          <t>MANAUS</t>
        </is>
      </c>
      <c r="G3529" t="inlineStr">
        <is>
          <t>CATIANE MOURA</t>
        </is>
      </c>
      <c r="H3529" t="inlineStr">
        <is>
          <t>POLÍCIA CIVIL PRENDE SUSPEITO DE TER ASSASSINADO HAITIANO EM MANAUS</t>
        </is>
      </c>
      <c r="I3529" t="inlineStr">
        <is>
          <t>SEGUNDO INFORMAÇÕES DA ESPECIALIZADA, RAFAEL DE OLIVEIRA LOPES, 19, FOI NOTIFICADO A PRESTAR ESCLARECIMENTO SOBRE SEU SUPOSTO ENVOLVIMENTO NO HOMICÍDIO E DURANTE DEPOIMENTO ACABOU CONFESSANDO O CRIME</t>
        </is>
      </c>
      <c r="J3529">
        <f>HYPERLINK("https://www.acritica.com/manaus/policia-civil-prende-suspeito-de-ter-assassinado-haitiano-em-manaus-1.107637", "URL")</f>
        <v/>
      </c>
      <c r="K3529">
        <f>HYPERLINK("https://raw.githubusercontent.com/marcosmapl/dataset_imigrantes/main/noticias_filtered/a_critica/haitianos/2012/01_fev/html/1.107637_71.html", "HTML")</f>
        <v/>
      </c>
      <c r="L3529">
        <f>HYPERLINK("https://raw.githubusercontent.com/marcosmapl/dataset_imigrantes/main/noticias_filtered/a_critica/haitianos/2012/01_fev/txt/1.107637_71.txt", "TXT")</f>
        <v/>
      </c>
    </row>
    <row r="3530">
      <c r="A3530" s="1" t="n">
        <v>3528</v>
      </c>
      <c r="B3530" t="n">
        <v>2012</v>
      </c>
      <c r="C3530" s="2" t="n">
        <v>40948.84652777778</v>
      </c>
      <c r="D3530" t="inlineStr">
        <is>
          <t>G1</t>
        </is>
      </c>
      <c r="E3530" t="inlineStr">
        <is>
          <t>HAITIANOS</t>
        </is>
      </c>
      <c r="F3530" t="inlineStr"/>
      <c r="G3530" t="inlineStr">
        <is>
          <t>1 AM</t>
        </is>
      </c>
      <c r="H3530" t="inlineStr">
        <is>
          <t>SUSPEITO DE MATAR HAITIANO RESPONDERÁ PROCESSO EM LIBERDADE, NO AM</t>
        </is>
      </c>
      <c r="I3530" t="inlineStr"/>
      <c r="J3530">
        <f>HYPERLINK("http://g1.globo.com/am/amazonas/noticia/2012/02/suspeito-de-matar-haitiano-respondera-processo-em-liberdade-no-am.html", "URL")</f>
        <v/>
      </c>
      <c r="K3530">
        <f>HYPERLINK("https://raw.githubusercontent.com/marcosmapl/dataset_imigrantes/main/noticias_filtered/g1/haitianos/2012/01_fev/html/g1_abfe467a-230f-11ed-b24f-6dbe51e79fca_2811.html", "HTML")</f>
        <v/>
      </c>
      <c r="L3530">
        <f>HYPERLINK("https://raw.githubusercontent.com/marcosmapl/dataset_imigrantes/main/noticias_filtered/g1/haitianos/2012/01_fev/txt/g1_abfe467a-230f-11ed-b24f-6dbe51e79fca_2811.txt", "TXT")</f>
        <v/>
      </c>
    </row>
    <row r="3531">
      <c r="A3531" s="1" t="n">
        <v>3529</v>
      </c>
      <c r="B3531" t="n">
        <v>2012</v>
      </c>
      <c r="C3531" s="2" t="n">
        <v>40948.35625</v>
      </c>
      <c r="D3531" t="inlineStr">
        <is>
          <t>G1</t>
        </is>
      </c>
      <c r="E3531" t="inlineStr">
        <is>
          <t>HAITIANOS</t>
        </is>
      </c>
      <c r="F3531" t="inlineStr"/>
      <c r="G3531" t="inlineStr">
        <is>
          <t>CE PRESSE</t>
        </is>
      </c>
      <c r="H3531" t="inlineStr">
        <is>
          <t>INCÊNDIO EM CAMPO DE REFUGIADOS NO HAITI</t>
        </is>
      </c>
      <c r="I3531" t="inlineStr"/>
      <c r="J3531">
        <f>HYPERLINK("http://g1.globo.com/mundo/noticia/2012/02/incendio-em-campo-de-refugiados-no-haiti.html", "URL")</f>
        <v/>
      </c>
      <c r="K3531">
        <f>HYPERLINK("https://raw.githubusercontent.com/marcosmapl/dataset_imigrantes/main/noticias_filtered/g1/haitianos/2012/01_fev/html/g1_0ba705f4-2319-11ed-b24f-6dbe51e79fca_3296.html", "HTML")</f>
        <v/>
      </c>
      <c r="L3531">
        <f>HYPERLINK("https://raw.githubusercontent.com/marcosmapl/dataset_imigrantes/main/noticias_filtered/g1/haitianos/2012/01_fev/txt/g1_0ba705f4-2319-11ed-b24f-6dbe51e79fca_3296.txt", "TXT")</f>
        <v/>
      </c>
    </row>
    <row r="3532">
      <c r="A3532" s="1" t="n">
        <v>3530</v>
      </c>
      <c r="B3532" t="n">
        <v>2012</v>
      </c>
      <c r="C3532" s="2" t="n">
        <v>40947.84375</v>
      </c>
      <c r="D3532" t="inlineStr">
        <is>
          <t>G1</t>
        </is>
      </c>
      <c r="E3532" t="inlineStr">
        <is>
          <t>HAITIANOS</t>
        </is>
      </c>
      <c r="F3532" t="inlineStr"/>
      <c r="G3532" t="inlineStr">
        <is>
          <t>1 MT</t>
        </is>
      </c>
      <c r="H3532" t="inlineStr">
        <is>
          <t>HAITIANOS RECLAMAM DE REDUÇÃO DE SALÁRIO E ABANDONAM EMPREGO EM MT</t>
        </is>
      </c>
      <c r="I3532" t="inlineStr"/>
      <c r="J3532">
        <f>HYPERLINK("http://g1.globo.com/mato-grosso/noticia/2012/02/haitianos-reclamam-de-reducao-de-salario-e-abandonam-emprego-em-mt.html", "URL")</f>
        <v/>
      </c>
      <c r="K3532">
        <f>HYPERLINK("https://raw.githubusercontent.com/marcosmapl/dataset_imigrantes/main/noticias_filtered/g1/haitianos/2012/01_fev/html/g1_713536a2-22f6-11ed-b24f-6dbe51e79fca_2013.html", "HTML")</f>
        <v/>
      </c>
      <c r="L3532">
        <f>HYPERLINK("https://raw.githubusercontent.com/marcosmapl/dataset_imigrantes/main/noticias_filtered/g1/haitianos/2012/01_fev/txt/g1_713536a2-22f6-11ed-b24f-6dbe51e79fca_2013.txt", "TXT")</f>
        <v/>
      </c>
    </row>
    <row r="3533">
      <c r="A3533" s="1" t="n">
        <v>3531</v>
      </c>
      <c r="B3533" t="n">
        <v>2012</v>
      </c>
      <c r="C3533" s="2" t="n">
        <v>40947.71041666667</v>
      </c>
      <c r="D3533" t="inlineStr">
        <is>
          <t>G1</t>
        </is>
      </c>
      <c r="E3533" t="inlineStr">
        <is>
          <t>HAITIANOS</t>
        </is>
      </c>
      <c r="F3533" t="inlineStr"/>
      <c r="G3533" t="inlineStr">
        <is>
          <t>ERS</t>
        </is>
      </c>
      <c r="H3533" t="inlineStr">
        <is>
          <t>HAITIANOS QUE BUSCAM O BRASIL DEFINHAM NA AMAZÔNIA PERUANA</t>
        </is>
      </c>
      <c r="I3533" t="inlineStr"/>
      <c r="J3533">
        <f>HYPERLINK("http://g1.globo.com/mundo/noticia/2012/02/haitianos-que-buscam-o-brasil-definham-na-amazonia-peruana.html", "URL")</f>
        <v/>
      </c>
      <c r="K3533">
        <f>HYPERLINK("https://raw.githubusercontent.com/marcosmapl/dataset_imigrantes/main/noticias_filtered/g1/haitianos/2012/01_fev/html/g1_db68ff7c-22f6-11ed-b24f-6dbe51e79fca_2043.html", "HTML")</f>
        <v/>
      </c>
      <c r="L3533">
        <f>HYPERLINK("https://raw.githubusercontent.com/marcosmapl/dataset_imigrantes/main/noticias_filtered/g1/haitianos/2012/01_fev/txt/g1_db68ff7c-22f6-11ed-b24f-6dbe51e79fca_2043.txt", "TXT")</f>
        <v/>
      </c>
    </row>
    <row r="3534">
      <c r="A3534" s="1" t="n">
        <v>3532</v>
      </c>
      <c r="B3534" t="n">
        <v>2012</v>
      </c>
      <c r="C3534" s="2" t="n">
        <v>40947.54298611111</v>
      </c>
      <c r="D3534" t="inlineStr">
        <is>
          <t>A CRITICA</t>
        </is>
      </c>
      <c r="E3534" t="inlineStr">
        <is>
          <t>HAITIANOS</t>
        </is>
      </c>
      <c r="F3534" t="inlineStr">
        <is>
          <t>MANAUS</t>
        </is>
      </c>
      <c r="G3534" t="inlineStr">
        <is>
          <t>JORNAL A CRÍTICA</t>
        </is>
      </c>
      <c r="H3534" t="inlineStr">
        <is>
          <t>PESQUISA DA UFAM TRAÇA PERFIL DOS HAITIANOS QUE MIGRARAM PARA MANAUS</t>
        </is>
      </c>
      <c r="I3534" t="inlineStr">
        <is>
          <t>ESTUDOS FAZ PARTE DA ATIVIDADE CURRICULAR DE EXTENSÃO (ACE) E FOI COORDENADO PELOS DEPARTAMENTOS DE ANTROPOLOGIA, SERVIÇO SOCIAL E LETRAS, DA INSTITUIÇÃO</t>
        </is>
      </c>
      <c r="J3534">
        <f>HYPERLINK("https://www.acritica.com/manaus/pesquisa-da-ufam-traca-perfil-dos-haitianos-que-migraram-para-manaus-1.165799", "URL")</f>
        <v/>
      </c>
      <c r="K3534">
        <f>HYPERLINK("https://raw.githubusercontent.com/marcosmapl/dataset_imigrantes/main/noticias_filtered/a_critica/haitianos/2012/01_fev/html/1.165799_1383.html", "HTML")</f>
        <v/>
      </c>
      <c r="L3534">
        <f>HYPERLINK("https://raw.githubusercontent.com/marcosmapl/dataset_imigrantes/main/noticias_filtered/a_critica/haitianos/2012/01_fev/txt/1.165799_1383.txt", "TXT")</f>
        <v/>
      </c>
    </row>
    <row r="3535">
      <c r="A3535" s="1" t="n">
        <v>3533</v>
      </c>
      <c r="B3535" t="n">
        <v>2012</v>
      </c>
      <c r="C3535" s="2" t="n">
        <v>40946.93869212963</v>
      </c>
      <c r="D3535" t="inlineStr">
        <is>
          <t>A CRITICA</t>
        </is>
      </c>
      <c r="E3535" t="inlineStr">
        <is>
          <t>HAITIANOS</t>
        </is>
      </c>
      <c r="F3535" t="inlineStr"/>
      <c r="G3535" t="inlineStr">
        <is>
          <t>ANTÔNIO PAULO</t>
        </is>
      </c>
      <c r="H3535" t="inlineStr">
        <is>
          <t>EDUARDO BRAGA DENUNCIA PREFEITURA DE MANAUS NO SENADO</t>
        </is>
      </c>
      <c r="I3535" t="inlineStr">
        <is>
          <t>A AÇÃO PEDE QUE A PREFEITURA DISTRIBUA ÁGUA À POPULAÇÃO COM TARIFA SOCIAL, UMA VEZ QUE A EMPRESA TERIA DESCUMPRIDO O CONTRATO DE CONCESSÃO POR DIVERSAS VEZES E O ABASTECIMENTO NA CIDADE SÓ FOI MANTIDO COM A INTERVENÇÃO DO GOVERNO DO ESTADO E DO GOVERNO FEDERAL</t>
        </is>
      </c>
      <c r="J3535">
        <f>HYPERLINK("https://www.acritica.com/eduardo-braga-denuncia-prefeitura-de-manaus-no-senado-1.137375", "URL")</f>
        <v/>
      </c>
      <c r="K3535">
        <f>HYPERLINK("https://raw.githubusercontent.com/marcosmapl/dataset_imigrantes/main/noticias_filtered/a_critica/haitianos/2012/01_fev/html/1.137375_936.html", "HTML")</f>
        <v/>
      </c>
      <c r="L3535">
        <f>HYPERLINK("https://raw.githubusercontent.com/marcosmapl/dataset_imigrantes/main/noticias_filtered/a_critica/haitianos/2012/01_fev/txt/1.137375_936.txt", "TXT")</f>
        <v/>
      </c>
    </row>
    <row r="3536">
      <c r="A3536" s="1" t="n">
        <v>3534</v>
      </c>
      <c r="B3536" t="n">
        <v>2012</v>
      </c>
      <c r="C3536" s="2" t="n">
        <v>40945.57565972222</v>
      </c>
      <c r="D3536" t="inlineStr">
        <is>
          <t>A CRITICA</t>
        </is>
      </c>
      <c r="E3536" t="inlineStr">
        <is>
          <t>HAITIANOS</t>
        </is>
      </c>
      <c r="F3536" t="inlineStr"/>
      <c r="G3536" t="inlineStr">
        <is>
          <t>ANTÔNIO PAULO</t>
        </is>
      </c>
      <c r="H3536" t="inlineStr">
        <is>
          <t>EMBAIXADOR DO HAITI ESTÁ DE MALAS PRONTAS PARA VISITAR O AMAZONAS</t>
        </is>
      </c>
      <c r="I3536" t="inlineStr">
        <is>
          <t>EM ENTREVISTA EXCLUSIVA PARA A CRÍTICA, O EMBAIXADOR DO HAITI NO BRASIL REVELOU QUE FOI IDEIA DELE A PROPOSTA DA COTA DO VISTO HUMANITÁRIO E DE EMPREGO PARA A ENTRADA DE HAITIANOS NO BRASIL</t>
        </is>
      </c>
      <c r="J3536">
        <f>HYPERLINK("https://www.acritica.com/embaixador-do-haiti-esta-de-malas-prontas-para-visitar-o-amazonas-1.165698", "URL")</f>
        <v/>
      </c>
      <c r="K3536">
        <f>HYPERLINK("https://raw.githubusercontent.com/marcosmapl/dataset_imigrantes/main/noticias_filtered/a_critica/haitianos/2012/01_fev/html/1.165698_101.html", "HTML")</f>
        <v/>
      </c>
      <c r="L3536">
        <f>HYPERLINK("https://raw.githubusercontent.com/marcosmapl/dataset_imigrantes/main/noticias_filtered/a_critica/haitianos/2012/01_fev/txt/1.165698_101.txt", "TXT")</f>
        <v/>
      </c>
    </row>
    <row r="3537">
      <c r="A3537" s="1" t="n">
        <v>3535</v>
      </c>
      <c r="B3537" t="n">
        <v>2012</v>
      </c>
      <c r="C3537" s="2" t="n">
        <v>40945.44033564815</v>
      </c>
      <c r="D3537" t="inlineStr">
        <is>
          <t>A CRITICA</t>
        </is>
      </c>
      <c r="E3537" t="inlineStr">
        <is>
          <t>HAITIANOS</t>
        </is>
      </c>
      <c r="F3537" t="inlineStr">
        <is>
          <t>ENTRETENIMENTO</t>
        </is>
      </c>
      <c r="G3537" t="inlineStr">
        <is>
          <t>JORNAL A CRÍTICA</t>
        </is>
      </c>
      <c r="H3537" t="inlineStr">
        <is>
          <t>OMAR AZIZ E EDUARDO BRAGA CONVERSAM SOBRE ALIANÇA PARA AS ELEIÇÕES DE 2012</t>
        </is>
      </c>
      <c r="I3537" t="inlineStr">
        <is>
          <t>EM UMA CONVERSA INFORMAL NO ÚLTIMO SÁBADO (04), AS DUAS LIDERANÇAS POLÍTICAS DO AMAZONAS FECHARAM ALIANÇA PARA AS ELEIÇÕES 2012</t>
        </is>
      </c>
      <c r="J3537">
        <f>HYPERLINK("https://www.acritica.com/entretenimento/omar-aziz-e-eduardo-braga-conversam-sobre-alianca-para-as-eleic-es-de-2012-1.165706", "URL")</f>
        <v/>
      </c>
      <c r="K3537">
        <f>HYPERLINK("https://raw.githubusercontent.com/marcosmapl/dataset_imigrantes/main/noticias_filtered/a_critica/haitianos/2012/01_fev/html/1.165706_744.html", "HTML")</f>
        <v/>
      </c>
      <c r="L3537">
        <f>HYPERLINK("https://raw.githubusercontent.com/marcosmapl/dataset_imigrantes/main/noticias_filtered/a_critica/haitianos/2012/01_fev/txt/1.165706_744.txt", "TXT")</f>
        <v/>
      </c>
    </row>
    <row r="3538">
      <c r="A3538" s="1" t="n">
        <v>3536</v>
      </c>
      <c r="B3538" t="n">
        <v>2012</v>
      </c>
      <c r="C3538" s="2" t="n">
        <v>40943.78150462963</v>
      </c>
      <c r="D3538" t="inlineStr">
        <is>
          <t>A CRITICA</t>
        </is>
      </c>
      <c r="E3538" t="inlineStr">
        <is>
          <t>HAITIANOS</t>
        </is>
      </c>
      <c r="F3538" t="inlineStr">
        <is>
          <t>ENTRETENIMENTO</t>
        </is>
      </c>
      <c r="G3538" t="inlineStr">
        <is>
          <t>ANA CAROLINA BARBOSA</t>
        </is>
      </c>
      <c r="H3538" t="inlineStr">
        <is>
          <t>ESTADO DOA COLCHÕES E ÁGUA A HAITIANOS RECÉM-CHEGADOS A MANAUS</t>
        </is>
      </c>
      <c r="I3538" t="inlineStr">
        <is>
          <t>DE ACORDO COM A SECRETÁRIA-EXECUTIVA DA SEAS, GRAÇA PROLA, AS MEDIDAS EMERGENCIAIS ESTÃO SENDO CUSTEADAS COM PARTE DOS R$ 400 MIL DOADOS PELO GOVERNO DO ESTADO. JÁ OS R$ 540 MIL DISPONIBILIZADOS PELO GOVERNO FEDERAL PARA O AUXÍLIO A ESSES IMIGRANTES, AINDA NÃO FORAM LIBERADOS</t>
        </is>
      </c>
      <c r="J3538">
        <f>HYPERLINK("https://www.acritica.com/entretenimento/estado-doa-colch-es-e-agua-a-haitianos-recem-chegados-a-manaus-1.106943", "URL")</f>
        <v/>
      </c>
      <c r="K3538">
        <f>HYPERLINK("https://raw.githubusercontent.com/marcosmapl/dataset_imigrantes/main/noticias_filtered/a_critica/haitianos/2012/01_fev/html/1.106943_514.html", "HTML")</f>
        <v/>
      </c>
      <c r="L3538">
        <f>HYPERLINK("https://raw.githubusercontent.com/marcosmapl/dataset_imigrantes/main/noticias_filtered/a_critica/haitianos/2012/01_fev/txt/1.106943_514.txt", "TXT")</f>
        <v/>
      </c>
    </row>
    <row r="3539">
      <c r="A3539" s="1" t="n">
        <v>3537</v>
      </c>
      <c r="B3539" t="n">
        <v>2012</v>
      </c>
      <c r="C3539" s="2" t="n">
        <v>40943.64799768518</v>
      </c>
      <c r="D3539" t="inlineStr">
        <is>
          <t>A CRITICA</t>
        </is>
      </c>
      <c r="E3539" t="inlineStr">
        <is>
          <t>HAITIANOS</t>
        </is>
      </c>
      <c r="F3539" t="inlineStr">
        <is>
          <t>ENTRETENIMENTO</t>
        </is>
      </c>
      <c r="G3539" t="inlineStr">
        <is>
          <t>JOELMA MUNIZ</t>
        </is>
      </c>
      <c r="H3539" t="inlineStr">
        <is>
          <t>MAIS UM GRUPO DE 400 HAITIANOS DESEMBARCA EM MANAUS</t>
        </is>
      </c>
      <c r="I3539" t="inlineStr">
        <is>
          <t>SEGUNDO O VOLUNTÁRIO DA PARÓQUIA DE SÃO GERALDO, TOM RODRIGUES, ATÉ A SEGUNDA-FEIRA (6), OS IMIGRANTES JÁ COMEÇARÃO A RECEBER CARTEIRAS DE TRABALHO E OS DEMAIS DOCUMENTOS EXIGIDOS PARA A PERMANÊNCIA EM MANAUS</t>
        </is>
      </c>
      <c r="J3539">
        <f>HYPERLINK("https://www.acritica.com/entretenimento/mais-um-grupo-de-400-haitianos-desembarca-em-manaus-1.165566", "URL")</f>
        <v/>
      </c>
      <c r="K3539">
        <f>HYPERLINK("https://raw.githubusercontent.com/marcosmapl/dataset_imigrantes/main/noticias_filtered/a_critica/haitianos/2012/01_fev/html/1.165566_687.html", "HTML")</f>
        <v/>
      </c>
      <c r="L3539">
        <f>HYPERLINK("https://raw.githubusercontent.com/marcosmapl/dataset_imigrantes/main/noticias_filtered/a_critica/haitianos/2012/01_fev/txt/1.165566_687.txt", "TXT")</f>
        <v/>
      </c>
    </row>
    <row r="3540">
      <c r="A3540" s="1" t="n">
        <v>3538</v>
      </c>
      <c r="B3540" t="n">
        <v>2012</v>
      </c>
      <c r="C3540" s="2" t="n">
        <v>40942.60232638889</v>
      </c>
      <c r="D3540" t="inlineStr">
        <is>
          <t>A CRITICA</t>
        </is>
      </c>
      <c r="E3540" t="inlineStr">
        <is>
          <t>HAITIANOS</t>
        </is>
      </c>
      <c r="F3540" t="inlineStr"/>
      <c r="G3540" t="inlineStr">
        <is>
          <t>SÍNTIA MACIEL</t>
        </is>
      </c>
      <c r="H3540" t="inlineStr">
        <is>
          <t>REPRESENTANTES DO GOVERNO FEDERAL VISITAM INSTALAÇÕES DE ABRIGOS HAITIANOS NO AM</t>
        </is>
      </c>
      <c r="I3540" t="inlineStr">
        <is>
          <t>NESTA SEXTA (3), ENQUANTO A COMITIVA DO GOVERNO FEDERAL SEGUE PARA TABATINGA, UM GRUPO DE APROXIMADAMENTE 200 HAITIANOS CHEGA A MANAUS</t>
        </is>
      </c>
      <c r="J3540">
        <f>HYPERLINK("https://www.acritica.com/representantes-do-governo-federal-visitam-instalac-es-de-abrigos-haitianos-no-am-1.165279", "URL")</f>
        <v/>
      </c>
      <c r="K3540">
        <f>HYPERLINK("https://raw.githubusercontent.com/marcosmapl/dataset_imigrantes/main/noticias_filtered/a_critica/haitianos/2012/01_fev/html/1.165279_83.html", "HTML")</f>
        <v/>
      </c>
      <c r="L3540">
        <f>HYPERLINK("https://raw.githubusercontent.com/marcosmapl/dataset_imigrantes/main/noticias_filtered/a_critica/haitianos/2012/01_fev/txt/1.165279_83.txt", "TXT")</f>
        <v/>
      </c>
    </row>
    <row r="3541">
      <c r="A3541" s="1" t="n">
        <v>3539</v>
      </c>
      <c r="B3541" t="n">
        <v>2012</v>
      </c>
      <c r="C3541" s="2" t="n">
        <v>40942.57534722222</v>
      </c>
      <c r="D3541" t="inlineStr">
        <is>
          <t>A CRITICA</t>
        </is>
      </c>
      <c r="E3541" t="inlineStr">
        <is>
          <t>HAITIANOS</t>
        </is>
      </c>
      <c r="F3541" t="inlineStr">
        <is>
          <t>MANAUS</t>
        </is>
      </c>
      <c r="G3541" t="inlineStr">
        <is>
          <t>SÍNTIA MACIEL</t>
        </is>
      </c>
      <c r="H3541" t="inlineStr">
        <is>
          <t>MAIS DE 200 HAITIANOS DESEMBARCAM EM MANAUS, NESTA SEXTA (3)</t>
        </is>
      </c>
      <c r="I3541" t="inlineStr">
        <is>
          <t>NESTE SÁBADO (4) OUTROS 400 REFUGIADOS, QUE SE ENCONTRAVAM NO MUNICÍPIO DE TABATINGA, TAMBÉM DEVEM CHEGAR À CAPITAL</t>
        </is>
      </c>
      <c r="J3541">
        <f>HYPERLINK("https://www.acritica.com/manaus/mais-de-200-haitianos-desembarcam-em-manaus-nesta-sexta-3-1.165207", "URL")</f>
        <v/>
      </c>
      <c r="K3541">
        <f>HYPERLINK("https://raw.githubusercontent.com/marcosmapl/dataset_imigrantes/main/noticias_filtered/a_critica/haitianos/2012/01_fev/html/1.165207_396.html", "HTML")</f>
        <v/>
      </c>
      <c r="L3541">
        <f>HYPERLINK("https://raw.githubusercontent.com/marcosmapl/dataset_imigrantes/main/noticias_filtered/a_critica/haitianos/2012/01_fev/txt/1.165207_396.txt", "TXT")</f>
        <v/>
      </c>
    </row>
    <row r="3542">
      <c r="A3542" s="1" t="n">
        <v>3540</v>
      </c>
      <c r="B3542" t="n">
        <v>2012</v>
      </c>
      <c r="C3542" s="2" t="n">
        <v>40941.66574074074</v>
      </c>
      <c r="D3542" t="inlineStr">
        <is>
          <t>A CRITICA</t>
        </is>
      </c>
      <c r="E3542" t="inlineStr">
        <is>
          <t>HAITIANOS</t>
        </is>
      </c>
      <c r="F3542" t="inlineStr">
        <is>
          <t>MANAUS</t>
        </is>
      </c>
      <c r="G3542" t="inlineStr">
        <is>
          <t>ACRÍTICA.COM</t>
        </is>
      </c>
      <c r="H3542" t="inlineStr">
        <is>
          <t>COMITIVA DO GOVERNO DO AMAZONAS E DE REPRESENTANTES DO GOVERNO FEDERAL VISITA ABRIGOS QUE ACOLHEM HAITIANOS EM MANAUS</t>
        </is>
      </c>
      <c r="I3542" t="inlineStr">
        <is>
          <t>A COMITIVA IRÁ VISITAR DOIS LOCAIS ONDE ESTÁ CONCENTRADA A MAIOR PARTE DOS HAITIANOS QUE CHEGA A MANAUS, A PARÓQUIA DE SÃO GERALDO E UM GALPÃO NO CONJUNTO SHANGRI-LÁ, NO PARQUE DAS LARANJEIRAS</t>
        </is>
      </c>
      <c r="J3542">
        <f>HYPERLINK("https://www.acritica.com/manaus/comitiva-do-governo-do-amazonas-e-de-representantes-do-governo-federal-visita-abrigos-que-acolhem-haitianos-em-manaus-1.117836", "URL")</f>
        <v/>
      </c>
      <c r="K3542">
        <f>HYPERLINK("https://raw.githubusercontent.com/marcosmapl/dataset_imigrantes/main/noticias_filtered/a_critica/haitianos/2012/01_fev/html/1.117836_670.html", "HTML")</f>
        <v/>
      </c>
      <c r="L3542">
        <f>HYPERLINK("https://raw.githubusercontent.com/marcosmapl/dataset_imigrantes/main/noticias_filtered/a_critica/haitianos/2012/01_fev/txt/1.117836_670.txt", "TXT")</f>
        <v/>
      </c>
    </row>
    <row r="3543">
      <c r="A3543" s="1" t="n">
        <v>3541</v>
      </c>
      <c r="B3543" t="n">
        <v>2012</v>
      </c>
      <c r="C3543" s="2" t="n">
        <v>40941.02638888889</v>
      </c>
      <c r="D3543" t="inlineStr">
        <is>
          <t>G1</t>
        </is>
      </c>
      <c r="E3543" t="inlineStr">
        <is>
          <t>HAITIANOS</t>
        </is>
      </c>
      <c r="F3543" t="inlineStr"/>
      <c r="G3543" t="inlineStr">
        <is>
          <t>DIA BOMTEMPOPORTO PRÍNCIPE, HAITI</t>
        </is>
      </c>
      <c r="H3543" t="inlineStr">
        <is>
          <t>DILMA PROMETE AJUDA A HAITIANOS QUE CHEGAREM AO BRASIL</t>
        </is>
      </c>
      <c r="I3543" t="inlineStr"/>
      <c r="J3543">
        <f>HYPERLINK("http://g1.globo.com/jornal-da-globo/noticia/2012/02/dilma-promete-ajuda-haitianos-que-chegarem-ao-brasil.html", "URL")</f>
        <v/>
      </c>
      <c r="K3543">
        <f>HYPERLINK("https://raw.githubusercontent.com/marcosmapl/dataset_imigrantes/main/noticias_filtered/g1/haitianos/2012/01_fev/html/g1_8682bbe2-22f6-11ed-b24f-6dbe51e79fca_2019.html", "HTML")</f>
        <v/>
      </c>
      <c r="L3543">
        <f>HYPERLINK("https://raw.githubusercontent.com/marcosmapl/dataset_imigrantes/main/noticias_filtered/g1/haitianos/2012/01_fev/txt/g1_8682bbe2-22f6-11ed-b24f-6dbe51e79fca_2019.txt", "TXT")</f>
        <v/>
      </c>
    </row>
    <row r="3544">
      <c r="A3544" s="1" t="n">
        <v>3542</v>
      </c>
      <c r="B3544" t="n">
        <v>2012</v>
      </c>
      <c r="C3544" s="2" t="n">
        <v>40940.85208333333</v>
      </c>
      <c r="D3544" t="inlineStr">
        <is>
          <t>G1</t>
        </is>
      </c>
      <c r="E3544" t="inlineStr">
        <is>
          <t>HAITIANOS</t>
        </is>
      </c>
      <c r="F3544" t="inlineStr"/>
      <c r="G3544" t="inlineStr">
        <is>
          <t>ERS</t>
        </is>
      </c>
      <c r="H3544" t="inlineStr">
        <is>
          <t>DILMA: BRASIL ESTÁ ABERTO A HAITIANOS; COMBATE É CONTRA COIOTES</t>
        </is>
      </c>
      <c r="I3544" t="inlineStr"/>
      <c r="J3544">
        <f>HYPERLINK("http://g1.globo.com/politica/noticia/2012/02/dilma-brasil-esta-aberto-a-haitianos-combate-e-contra-coiotes-1.html", "URL")</f>
        <v/>
      </c>
      <c r="K3544">
        <f>HYPERLINK("https://raw.githubusercontent.com/marcosmapl/dataset_imigrantes/main/noticias_filtered/g1/haitianos/2012/01_fev/html/g1_9d098d38-22fa-11ed-b24f-6dbe51e79fca_2231.html", "HTML")</f>
        <v/>
      </c>
      <c r="L3544">
        <f>HYPERLINK("https://raw.githubusercontent.com/marcosmapl/dataset_imigrantes/main/noticias_filtered/g1/haitianos/2012/01_fev/txt/g1_9d098d38-22fa-11ed-b24f-6dbe51e79fca_2231.txt", "TXT")</f>
        <v/>
      </c>
    </row>
    <row r="3545">
      <c r="A3545" s="1" t="n">
        <v>3543</v>
      </c>
      <c r="B3545" t="n">
        <v>2012</v>
      </c>
      <c r="C3545" s="2" t="n">
        <v>40940.85208333333</v>
      </c>
      <c r="D3545" t="inlineStr">
        <is>
          <t>G1</t>
        </is>
      </c>
      <c r="E3545" t="inlineStr">
        <is>
          <t>HAITIANOS</t>
        </is>
      </c>
      <c r="F3545" t="inlineStr"/>
      <c r="G3545" t="inlineStr">
        <is>
          <t>ERS</t>
        </is>
      </c>
      <c r="H3545" t="inlineStr">
        <is>
          <t>DILMA: BRASIL ESTÁ ABERTO A HAITIANOS; COMBATE É CONTRA COIOTES</t>
        </is>
      </c>
      <c r="I3545" t="inlineStr"/>
      <c r="J3545">
        <f>HYPERLINK("http://g1.globo.com/mundo/noticia/2012/02/dilma-brasil-esta-aberto-a-haitianos-combate-e-contra-coiotes.html", "URL")</f>
        <v/>
      </c>
      <c r="K3545">
        <f>HYPERLINK("https://raw.githubusercontent.com/marcosmapl/dataset_imigrantes/main/noticias_filtered/g1/haitianos/2012/01_fev/html/g1_2b599f2c-22f8-11ed-b24f-6dbe51e79fca_2118.html", "HTML")</f>
        <v/>
      </c>
      <c r="L3545">
        <f>HYPERLINK("https://raw.githubusercontent.com/marcosmapl/dataset_imigrantes/main/noticias_filtered/g1/haitianos/2012/01_fev/txt/g1_2b599f2c-22f8-11ed-b24f-6dbe51e79fca_2118.txt", "TXT")</f>
        <v/>
      </c>
    </row>
    <row r="3546">
      <c r="A3546" s="1" t="n">
        <v>3544</v>
      </c>
      <c r="B3546" t="n">
        <v>2012</v>
      </c>
      <c r="C3546" s="2" t="n">
        <v>40940.80625</v>
      </c>
      <c r="D3546" t="inlineStr">
        <is>
          <t>G1</t>
        </is>
      </c>
      <c r="E3546" t="inlineStr">
        <is>
          <t>HAITIANOS</t>
        </is>
      </c>
      <c r="F3546" t="inlineStr"/>
      <c r="G3546" t="inlineStr">
        <is>
          <t>1, EM BRASÍLIA</t>
        </is>
      </c>
      <c r="H3546" t="inlineStr">
        <is>
          <t>'ESTAMOS ABERTOS A RECEBER CIDADÃOS HAITIANOS', DIZ DILMA NO HAITI</t>
        </is>
      </c>
      <c r="I3546" t="inlineStr"/>
      <c r="J3546">
        <f>HYPERLINK("http://g1.globo.com/mundo/noticia/2012/02/estamos-abertos-receber-cidadaos-haitianos-diz-dilma-no-haiti.html", "URL")</f>
        <v/>
      </c>
      <c r="K3546">
        <f>HYPERLINK("https://raw.githubusercontent.com/marcosmapl/dataset_imigrantes/main/noticias_filtered/g1/haitianos/2012/01_fev/html/g1_192db092-22f6-11ed-b24f-6dbe51e79fca_1993.html", "HTML")</f>
        <v/>
      </c>
      <c r="L3546">
        <f>HYPERLINK("https://raw.githubusercontent.com/marcosmapl/dataset_imigrantes/main/noticias_filtered/g1/haitianos/2012/01_fev/txt/g1_192db092-22f6-11ed-b24f-6dbe51e79fca_1993.txt", "TXT")</f>
        <v/>
      </c>
    </row>
    <row r="3547">
      <c r="A3547" s="1" t="n">
        <v>3545</v>
      </c>
      <c r="B3547" t="n">
        <v>2012</v>
      </c>
      <c r="C3547" s="2" t="n">
        <v>40940.77291666667</v>
      </c>
      <c r="D3547" t="inlineStr">
        <is>
          <t>G1</t>
        </is>
      </c>
      <c r="E3547" t="inlineStr">
        <is>
          <t>HAITIANOS</t>
        </is>
      </c>
      <c r="F3547" t="inlineStr"/>
      <c r="G3547" t="inlineStr"/>
      <c r="H3547" t="inlineStr">
        <is>
          <t>DILMA DIZ QUE HAITIANOS SÃO BEM-VINDOS NO BRASIL, MAS CONDENA AÇÃO DE COIOTES</t>
        </is>
      </c>
      <c r="I3547" t="inlineStr"/>
      <c r="J3547">
        <f>HYPERLINK("http://g1.globo.com/mundo/noticia/2012/02/dilma-diz-que-haitianos-sao-bem-vindos-no-brasil-mas-condena-acao-de-coiotes.html", "URL")</f>
        <v/>
      </c>
      <c r="K3547">
        <f>HYPERLINK("https://raw.githubusercontent.com/marcosmapl/dataset_imigrantes/main/noticias_filtered/g1/haitianos/2012/01_fev/html/g1_c106a702-2309-11ed-b24f-6dbe51e79fca_2461.html", "HTML")</f>
        <v/>
      </c>
      <c r="L3547">
        <f>HYPERLINK("https://raw.githubusercontent.com/marcosmapl/dataset_imigrantes/main/noticias_filtered/g1/haitianos/2012/01_fev/txt/g1_c106a702-2309-11ed-b24f-6dbe51e79fca_2461.txt", "TXT")</f>
        <v/>
      </c>
    </row>
    <row r="3548">
      <c r="A3548" s="1" t="n">
        <v>3546</v>
      </c>
      <c r="B3548" t="n">
        <v>2012</v>
      </c>
      <c r="C3548" s="2" t="n">
        <v>40940.4750462963</v>
      </c>
      <c r="D3548" t="inlineStr">
        <is>
          <t>A CRITICA</t>
        </is>
      </c>
      <c r="E3548" t="inlineStr">
        <is>
          <t>HAITIANOS</t>
        </is>
      </c>
      <c r="F3548" t="inlineStr">
        <is>
          <t>MANAUS</t>
        </is>
      </c>
      <c r="G3548" t="inlineStr">
        <is>
          <t>MILTON DE OLIVEIRA</t>
        </is>
      </c>
      <c r="H3548" t="inlineStr">
        <is>
          <t>IMIGRANTES HAITIANOS PROCURAM POLÍCIA FEDERAL EM MANAUS PARA REGULARIZAREM SITUAÇÃO NO PAÍS</t>
        </is>
      </c>
      <c r="I3548" t="inlineStr">
        <is>
          <t>NA BUSCA PELA REGULARIZAÇÃO DO VISTO HUMANITÁRIO, HAITIANOS ESTÃO DORMINDO EM PRAÇAS E LOCAIS PRÓXIMOS À POLÍCIA FEDERAL EM MANAUS</t>
        </is>
      </c>
      <c r="J3548">
        <f>HYPERLINK("https://www.acritica.com/manaus/imigrantes-haitianos-procuram-policia-federal-em-manaus-para-regularizarem-situac-o-no-pais-1.107011", "URL")</f>
        <v/>
      </c>
      <c r="K3548">
        <f>HYPERLINK("https://raw.githubusercontent.com/marcosmapl/dataset_imigrantes/main/noticias_filtered/a_critica/haitianos/2012/01_fev/html/1.107011_447.html", "HTML")</f>
        <v/>
      </c>
      <c r="L3548">
        <f>HYPERLINK("https://raw.githubusercontent.com/marcosmapl/dataset_imigrantes/main/noticias_filtered/a_critica/haitianos/2012/01_fev/txt/1.107011_447.txt", "TXT")</f>
        <v/>
      </c>
    </row>
    <row r="3549">
      <c r="A3549" s="1" t="n">
        <v>3547</v>
      </c>
      <c r="B3549" t="n">
        <v>2012</v>
      </c>
      <c r="C3549" s="2" t="n">
        <v>40940.45614583333</v>
      </c>
      <c r="D3549" t="inlineStr">
        <is>
          <t>A CRITICA</t>
        </is>
      </c>
      <c r="E3549" t="inlineStr">
        <is>
          <t>HAITIANOS</t>
        </is>
      </c>
      <c r="F3549" t="inlineStr">
        <is>
          <t>MANAUS</t>
        </is>
      </c>
      <c r="G3549" t="inlineStr">
        <is>
          <t>MOARA CABRAL</t>
        </is>
      </c>
      <c r="H3549" t="inlineStr">
        <is>
          <t>ALE-AM RETOMA ÀS ATIVIDADES COM NOVOS PROJETOS</t>
        </is>
      </c>
      <c r="I3549" t="inlineStr">
        <is>
          <t>PRÉDIO DA ASSEMBLEIA LEGISLATIVA DO AMAZONAS VAI VIRAR CANTEIRO DE OBRAS PARA CONSTRUÇÃO DE CENTRO MÉDICO, EDIFÍCIO GARAGEM E SERVIÇOS DE ADAPTAÇÕES</t>
        </is>
      </c>
      <c r="J3549">
        <f>HYPERLINK("https://www.acritica.com/manaus/ale-am-retoma-as-atividades-com-novos-projetos-1.107015", "URL")</f>
        <v/>
      </c>
      <c r="K3549">
        <f>HYPERLINK("https://raw.githubusercontent.com/marcosmapl/dataset_imigrantes/main/noticias_filtered/a_critica/haitianos/2012/01_fev/html/1.107015_1091.html", "HTML")</f>
        <v/>
      </c>
      <c r="L3549">
        <f>HYPERLINK("https://raw.githubusercontent.com/marcosmapl/dataset_imigrantes/main/noticias_filtered/a_critica/haitianos/2012/01_fev/txt/1.107015_1091.txt", "TXT")</f>
        <v/>
      </c>
    </row>
    <row r="3550">
      <c r="A3550" s="1" t="n">
        <v>3548</v>
      </c>
      <c r="B3550" t="n">
        <v>2012</v>
      </c>
      <c r="C3550" s="2" t="n">
        <v>40940.45498842592</v>
      </c>
      <c r="D3550" t="inlineStr">
        <is>
          <t>A CRITICA</t>
        </is>
      </c>
      <c r="E3550" t="inlineStr">
        <is>
          <t>HAITIANOS</t>
        </is>
      </c>
      <c r="F3550" t="inlineStr">
        <is>
          <t>ENTRETENIMENTO</t>
        </is>
      </c>
      <c r="G3550" t="inlineStr">
        <is>
          <t>UOL/CELEBRIDADES</t>
        </is>
      </c>
      <c r="H3550" t="inlineStr">
        <is>
          <t>SEAN PENN É NOMEADO EMBAIXADOR ITINERANTE DO HAITI</t>
        </is>
      </c>
      <c r="I3550" t="inlineStr">
        <is>
          <t>SEAN PENN REALIZOU UM ATIVO TRABALHO HUMANITÁRIO DESDE QUE O HAITI SOFREU A CATÁSTROFE, EM 2010, NA QUAL MORRERAM CERCA DE 300 MIL PESSOAS</t>
        </is>
      </c>
      <c r="J3550">
        <f>HYPERLINK("https://www.acritica.com/entretenimento/sean-penn-e-nomeado-embaixador-itinerante-do-haiti-1.107017", "URL")</f>
        <v/>
      </c>
      <c r="K3550">
        <f>HYPERLINK("https://raw.githubusercontent.com/marcosmapl/dataset_imigrantes/main/noticias_filtered/a_critica/haitianos/2012/01_fev/html/1.107017_1000.html", "HTML")</f>
        <v/>
      </c>
      <c r="L3550">
        <f>HYPERLINK("https://raw.githubusercontent.com/marcosmapl/dataset_imigrantes/main/noticias_filtered/a_critica/haitianos/2012/01_fev/txt/1.107017_1000.txt", "TXT")</f>
        <v/>
      </c>
    </row>
    <row r="3551">
      <c r="A3551" s="1" t="n">
        <v>3549</v>
      </c>
      <c r="B3551" t="n">
        <v>2012</v>
      </c>
      <c r="C3551" s="2" t="n">
        <v>40940.41748842593</v>
      </c>
      <c r="D3551" t="inlineStr">
        <is>
          <t>A CRITICA</t>
        </is>
      </c>
      <c r="E3551" t="inlineStr">
        <is>
          <t>HAITIANOS</t>
        </is>
      </c>
      <c r="F3551" t="inlineStr">
        <is>
          <t>MANAUS</t>
        </is>
      </c>
      <c r="G3551" t="inlineStr">
        <is>
          <t>JÚLIO PEDROSA</t>
        </is>
      </c>
      <c r="H3551" t="inlineStr">
        <is>
          <t>AMAZONAS PRETENDE DESENCADEAR AÇÕES DE TESTAGEM DE DOENÇAS EM PACIENTES HAITIANOS</t>
        </is>
      </c>
      <c r="I3551" t="inlineStr">
        <is>
          <t>GOVERNO DO AMAZONAS VAI ENCAMINHAR DOCUMENTO AO MINISTÉRIO DA SAÚDE SOBRE PROBLEMAS RELACIONADOS À SAÚDE DOS IMIGRANTES HAITIANOS</t>
        </is>
      </c>
      <c r="J3551">
        <f>HYPERLINK("https://www.acritica.com/manaus/amazonas-pretende-desencadear-ac-es-de-testagem-de-doencas-em-pacientes-haitianos-1.107025", "URL")</f>
        <v/>
      </c>
      <c r="K3551">
        <f>HYPERLINK("https://raw.githubusercontent.com/marcosmapl/dataset_imigrantes/main/noticias_filtered/a_critica/haitianos/2012/01_fev/html/1.107025_1373.html", "HTML")</f>
        <v/>
      </c>
      <c r="L3551">
        <f>HYPERLINK("https://raw.githubusercontent.com/marcosmapl/dataset_imigrantes/main/noticias_filtered/a_critica/haitianos/2012/01_fev/txt/1.107025_1373.txt", "TXT")</f>
        <v/>
      </c>
    </row>
    <row r="3552">
      <c r="A3552" s="1" t="n">
        <v>3550</v>
      </c>
      <c r="B3552" t="n">
        <v>2012</v>
      </c>
      <c r="C3552" s="2" t="n">
        <v>40939.86373842593</v>
      </c>
      <c r="D3552" t="inlineStr">
        <is>
          <t>A CRITICA</t>
        </is>
      </c>
      <c r="E3552" t="inlineStr">
        <is>
          <t>HAITIANOS</t>
        </is>
      </c>
      <c r="F3552" t="inlineStr">
        <is>
          <t>AMAZONIA</t>
        </is>
      </c>
      <c r="G3552" t="inlineStr">
        <is>
          <t>ELAÍZE FARIAS</t>
        </is>
      </c>
      <c r="H3552" t="inlineStr">
        <is>
          <t>MPF/AM ARTICULA AUDIÊNCIA COM GOVERNO PARA DISCUTIR SITUAÇÃO DE HAITIANOS COM RISCO DE DEPORTAÇÃO</t>
        </is>
      </c>
      <c r="I3552" t="inlineStr">
        <is>
          <t>APROXIMADAMENTE 300 HAITIANOS ENTRARAM NO AMAZONAS DEPOIS DO DIA 13 DE JANEIRO, DATA EM QUE O CNIG PASSOU A CONTROLAR A ENTRADA DE IMIGRANTES</t>
        </is>
      </c>
      <c r="J3552">
        <f>HYPERLINK("https://www.acritica.com/amazonia/mpf-am-articula-audiencia-com-governo-para-discutir-situac-o-de-haitianos-com-risco-de-deportac-o-1.170236", "URL")</f>
        <v/>
      </c>
      <c r="K3552">
        <f>HYPERLINK("https://raw.githubusercontent.com/marcosmapl/dataset_imigrantes/main/noticias_filtered/a_critica/haitianos/2012/00_jan/html/1.170236_240.html", "HTML")</f>
        <v/>
      </c>
      <c r="L3552">
        <f>HYPERLINK("https://raw.githubusercontent.com/marcosmapl/dataset_imigrantes/main/noticias_filtered/a_critica/haitianos/2012/00_jan/txt/1.170236_240.txt", "TXT")</f>
        <v/>
      </c>
    </row>
    <row r="3553">
      <c r="A3553" s="1" t="n">
        <v>3551</v>
      </c>
      <c r="B3553" t="n">
        <v>2012</v>
      </c>
      <c r="C3553" s="2" t="n">
        <v>40939.67354166666</v>
      </c>
      <c r="D3553" t="inlineStr">
        <is>
          <t>A CRITICA</t>
        </is>
      </c>
      <c r="E3553" t="inlineStr">
        <is>
          <t>HAITIANOS</t>
        </is>
      </c>
      <c r="F3553" t="inlineStr">
        <is>
          <t>ESPORTES</t>
        </is>
      </c>
      <c r="G3553" t="inlineStr">
        <is>
          <t>ACRÍTICA.COM</t>
        </is>
      </c>
      <c r="H3553" t="inlineStr">
        <is>
          <t>JOSÉ ALDO DEVE DESEMBARCAR EM MANAUS NA PRÓXIMA QUINTA-FEIRA</t>
        </is>
      </c>
      <c r="I3553" t="inlineStr">
        <is>
          <t>O ATUAL CAMPEÃO PESO PENA DO UFC VAI APROVEITAR A OPORTUNIDADE PARA AGRADECER O APOIO DA PREFEITURA E TAMBÉM PARA DESCANSAR. ELE DEVE FICAR ENTRE SETE E DEZ DIAS NA CAPITAL</t>
        </is>
      </c>
      <c r="J3553">
        <f>HYPERLINK("https://www.acritica.com/esportes/jose-aldo-deve-desembarcar-em-manaus-na-proxima-quinta-feira-1.170263", "URL")</f>
        <v/>
      </c>
      <c r="K3553">
        <f>HYPERLINK("https://raw.githubusercontent.com/marcosmapl/dataset_imigrantes/main/noticias_filtered/a_critica/haitianos/2012/00_jan/html/1.170263_500.html", "HTML")</f>
        <v/>
      </c>
      <c r="L3553">
        <f>HYPERLINK("https://raw.githubusercontent.com/marcosmapl/dataset_imigrantes/main/noticias_filtered/a_critica/haitianos/2012/00_jan/txt/1.170263_500.txt", "TXT")</f>
        <v/>
      </c>
    </row>
    <row r="3554">
      <c r="A3554" s="1" t="n">
        <v>3552</v>
      </c>
      <c r="B3554" t="n">
        <v>2012</v>
      </c>
      <c r="C3554" s="2" t="n">
        <v>40939.42207175926</v>
      </c>
      <c r="D3554" t="inlineStr">
        <is>
          <t>A CRITICA</t>
        </is>
      </c>
      <c r="E3554" t="inlineStr">
        <is>
          <t>HAITIANOS</t>
        </is>
      </c>
      <c r="F3554" t="inlineStr">
        <is>
          <t>MANAUS</t>
        </is>
      </c>
      <c r="G3554" t="inlineStr">
        <is>
          <t>CASSANDRA CASTRO</t>
        </is>
      </c>
      <c r="H3554" t="inlineStr">
        <is>
          <t>PROJETO REÚNE JOVENS VOLUNTÁRIOS PARA AJUDAR HAITIANOS EM MANAUS</t>
        </is>
      </c>
      <c r="I3554" t="inlineStr">
        <is>
          <t>INICIATIVA DE GRUPO DE AMIGOS CONTA COM A AJUDA DE DIVERSOS PARCEIROS COMO IGREJAS CATÓLICAS, EVANGÉLICAS E REPRESENTANTES DA SOCIEDADE CIVIL ORGANIZADA</t>
        </is>
      </c>
      <c r="J3554">
        <f>HYPERLINK("https://www.acritica.com/manaus/projeto-reune-jovens-voluntarios-para-ajudar-haitianos-em-manaus-1.104155", "URL")</f>
        <v/>
      </c>
      <c r="K3554">
        <f>HYPERLINK("https://raw.githubusercontent.com/marcosmapl/dataset_imigrantes/main/noticias_filtered/a_critica/haitianos/2012/00_jan/html/1.104155_652.html", "HTML")</f>
        <v/>
      </c>
      <c r="L3554">
        <f>HYPERLINK("https://raw.githubusercontent.com/marcosmapl/dataset_imigrantes/main/noticias_filtered/a_critica/haitianos/2012/00_jan/txt/1.104155_652.txt", "TXT")</f>
        <v/>
      </c>
    </row>
    <row r="3555">
      <c r="A3555" s="1" t="n">
        <v>3553</v>
      </c>
      <c r="B3555" t="n">
        <v>2012</v>
      </c>
      <c r="C3555" s="2" t="n">
        <v>40939.41434027778</v>
      </c>
      <c r="D3555" t="inlineStr">
        <is>
          <t>A CRITICA</t>
        </is>
      </c>
      <c r="E3555" t="inlineStr">
        <is>
          <t>HAITIANOS</t>
        </is>
      </c>
      <c r="F3555" t="inlineStr">
        <is>
          <t>MANAUS</t>
        </is>
      </c>
      <c r="G3555" t="inlineStr">
        <is>
          <t>CAROLINA SILVA</t>
        </is>
      </c>
      <c r="H3555" t="inlineStr">
        <is>
          <t>AÇÕES DE VOLUNTARIADO MOBILIZAM PESSOAS NA AJUDA A IMIGRANTES HAITIANOS</t>
        </is>
      </c>
      <c r="I3555" t="inlineStr">
        <is>
          <t>APESAR DE O MINISTRO CELSO AMORIM TER DITO QUE IMIGRAÇÃO ESTÁ SOB CONTROLE, POPULAÇÃO SE UNE PARA TORNAR DIAS DE IRMÃOS MENOS DIFÍCEIS</t>
        </is>
      </c>
      <c r="J3555">
        <f>HYPERLINK("https://www.acritica.com/manaus/ac-es-de-voluntariado-mobilizam-pessoas-na-ajuda-a-imigrantes-haitianos-1.104100", "URL")</f>
        <v/>
      </c>
      <c r="K3555">
        <f>HYPERLINK("https://raw.githubusercontent.com/marcosmapl/dataset_imigrantes/main/noticias_filtered/a_critica/haitianos/2012/00_jan/html/1.104100_1367.html", "HTML")</f>
        <v/>
      </c>
      <c r="L3555">
        <f>HYPERLINK("https://raw.githubusercontent.com/marcosmapl/dataset_imigrantes/main/noticias_filtered/a_critica/haitianos/2012/00_jan/txt/1.104100_1367.txt", "TXT")</f>
        <v/>
      </c>
    </row>
    <row r="3556">
      <c r="A3556" s="1" t="n">
        <v>3554</v>
      </c>
      <c r="B3556" t="n">
        <v>2012</v>
      </c>
      <c r="C3556" s="2" t="n">
        <v>40938.77857638889</v>
      </c>
      <c r="D3556" t="inlineStr">
        <is>
          <t>A CRITICA</t>
        </is>
      </c>
      <c r="E3556" t="inlineStr">
        <is>
          <t>HAITIANOS</t>
        </is>
      </c>
      <c r="F3556" t="inlineStr">
        <is>
          <t>MANAUS</t>
        </is>
      </c>
      <c r="G3556" t="inlineStr">
        <is>
          <t>ANA CAROLIN BARBOSA</t>
        </is>
      </c>
      <c r="H3556" t="inlineStr">
        <is>
          <t>MDS LIBERA R$ 900 MIL PARA HAITIANOS RESIDENTES NO AMAZONAS E NO ACRE</t>
        </is>
      </c>
      <c r="I3556" t="inlineStr">
        <is>
          <t>A PARCELA DO RECURSO PARA O AMAZONAS SERÁ DE R$ 540 MIL, QUE SERÁ INVESTIDO EM AÇÕES SOCIAIS, SOMADO AOS R$940 MIL DISPONIBILIZADOS PELO GOVERNO ESTADUAL</t>
        </is>
      </c>
      <c r="J3556">
        <f>HYPERLINK("https://www.acritica.com/manaus/mds-libera-r-900-mil-para-haitianos-residentes-no-amazonas-e-no-acre-1.104110", "URL")</f>
        <v/>
      </c>
      <c r="K3556">
        <f>HYPERLINK("https://raw.githubusercontent.com/marcosmapl/dataset_imigrantes/main/noticias_filtered/a_critica/haitianos/2012/00_jan/html/1.104110_276.html", "HTML")</f>
        <v/>
      </c>
      <c r="L3556">
        <f>HYPERLINK("https://raw.githubusercontent.com/marcosmapl/dataset_imigrantes/main/noticias_filtered/a_critica/haitianos/2012/00_jan/txt/1.104110_276.txt", "TXT")</f>
        <v/>
      </c>
    </row>
    <row r="3557">
      <c r="A3557" s="1" t="n">
        <v>3555</v>
      </c>
      <c r="B3557" t="n">
        <v>2012</v>
      </c>
      <c r="C3557" s="2" t="n">
        <v>40938.5184375</v>
      </c>
      <c r="D3557" t="inlineStr">
        <is>
          <t>A CRITICA</t>
        </is>
      </c>
      <c r="E3557" t="inlineStr">
        <is>
          <t>HAITIANOS</t>
        </is>
      </c>
      <c r="F3557" t="inlineStr"/>
      <c r="G3557" t="inlineStr">
        <is>
          <t>PRISCILLA MAZENOTTI/ AGÊNCIA BRASIL</t>
        </is>
      </c>
      <c r="H3557" t="inlineStr">
        <is>
          <t>MINISTÉRIO LIBERA R$ 900 MIL PARA AJUDAR IMIGRANTES HAITIANOS NO ACRE E NO AMAZONAS</t>
        </is>
      </c>
      <c r="I3557" t="inlineStr">
        <is>
          <t>OS RECURSOS FORAM CALCULADOS COM BASE NO NÚMERO DE HAITIANOS QUE CADA ESTADO RECEBEU. O AMAZONAS, QUE TEM 4,6 MIL IMIGRANTES, VAI RECEBER R$ 540 MIL E O ACRE, COM O REGISTRO DE 1,4 MIL IMIGRANTES, FICARÁ COM R$ 360 MIL</t>
        </is>
      </c>
      <c r="J3557">
        <f>HYPERLINK("https://www.acritica.com/ministerio-libera-r-900-mil-para-ajudar-imigrantes-haitianos-no-acre-e-no-amazonas-1.104133", "URL")</f>
        <v/>
      </c>
      <c r="K3557">
        <f>HYPERLINK("https://raw.githubusercontent.com/marcosmapl/dataset_imigrantes/main/noticias_filtered/a_critica/haitianos/2012/00_jan/html/1.104133_989.html", "HTML")</f>
        <v/>
      </c>
      <c r="L3557">
        <f>HYPERLINK("https://raw.githubusercontent.com/marcosmapl/dataset_imigrantes/main/noticias_filtered/a_critica/haitianos/2012/00_jan/txt/1.104133_989.txt", "TXT")</f>
        <v/>
      </c>
    </row>
    <row r="3558">
      <c r="A3558" s="1" t="n">
        <v>3556</v>
      </c>
      <c r="B3558" t="n">
        <v>2012</v>
      </c>
      <c r="C3558" s="2" t="n">
        <v>40938.46024305555</v>
      </c>
      <c r="D3558" t="inlineStr">
        <is>
          <t>A CRITICA</t>
        </is>
      </c>
      <c r="E3558" t="inlineStr">
        <is>
          <t>HAITIANOS</t>
        </is>
      </c>
      <c r="F3558" t="inlineStr">
        <is>
          <t>MANAUS</t>
        </is>
      </c>
      <c r="G3558" t="inlineStr">
        <is>
          <t>ANA CELIA OSSAME</t>
        </is>
      </c>
      <c r="H3558" t="inlineStr">
        <is>
          <t>UFAM APOIARÁ HAITIANOS</t>
        </is>
      </c>
      <c r="I3558" t="inlineStr">
        <is>
          <t>REPRESENTANTES DA UNIVERSIDADE SE REUNIRAM COM IMIGRANTES PARA SABER DE SUAS NECESSIDADES MAIS URGENTES E EXPECTATIVAS</t>
        </is>
      </c>
      <c r="J3558">
        <f>HYPERLINK("https://www.acritica.com/manaus/ufam-apoiara-haitianos-1.104144", "URL")</f>
        <v/>
      </c>
      <c r="K3558">
        <f>HYPERLINK("https://raw.githubusercontent.com/marcosmapl/dataset_imigrantes/main/noticias_filtered/a_critica/haitianos/2012/00_jan/html/1.104144_779.html", "HTML")</f>
        <v/>
      </c>
      <c r="L3558">
        <f>HYPERLINK("https://raw.githubusercontent.com/marcosmapl/dataset_imigrantes/main/noticias_filtered/a_critica/haitianos/2012/00_jan/txt/1.104144_779.txt", "TXT")</f>
        <v/>
      </c>
    </row>
    <row r="3559">
      <c r="A3559" s="1" t="n">
        <v>3557</v>
      </c>
      <c r="B3559" t="n">
        <v>2012</v>
      </c>
      <c r="C3559" s="2" t="n">
        <v>40938.45163194444</v>
      </c>
      <c r="D3559" t="inlineStr">
        <is>
          <t>A CRITICA</t>
        </is>
      </c>
      <c r="E3559" t="inlineStr">
        <is>
          <t>HAITIANOS</t>
        </is>
      </c>
      <c r="F3559" t="inlineStr"/>
      <c r="G3559" t="inlineStr">
        <is>
          <t>LEANDRO PRAZERES</t>
        </is>
      </c>
      <c r="H3559" t="inlineStr">
        <is>
          <t>CHEGADA DE HAITIANOS, É FRUTO DA POLÍTICA INTERNACIONAL, DIZ ESPECIALISTA</t>
        </is>
      </c>
      <c r="I3559" t="inlineStr">
        <is>
          <t>BRASIL, O 6° MAIOR PIB MUNDIAL, VIROU ATRATIVO PARA HAITIANOS QUE VIVEM EM UM PAÍS COM PIB DE POUCO MAIS DE R$ 20 MILHÕES</t>
        </is>
      </c>
      <c r="J3559">
        <f>HYPERLINK("https://www.acritica.com/chegada-de-haitianos-e-fruto-da-politica-internacional-diz-especialista-1.170442", "URL")</f>
        <v/>
      </c>
      <c r="K3559">
        <f>HYPERLINK("https://raw.githubusercontent.com/marcosmapl/dataset_imigrantes/main/noticias_filtered/a_critica/haitianos/2012/00_jan/html/1.170442_142.html", "HTML")</f>
        <v/>
      </c>
      <c r="L3559">
        <f>HYPERLINK("https://raw.githubusercontent.com/marcosmapl/dataset_imigrantes/main/noticias_filtered/a_critica/haitianos/2012/00_jan/txt/1.170442_142.txt", "TXT")</f>
        <v/>
      </c>
    </row>
    <row r="3560">
      <c r="A3560" s="1" t="n">
        <v>3558</v>
      </c>
      <c r="B3560" t="n">
        <v>2012</v>
      </c>
      <c r="C3560" s="2" t="n">
        <v>40938.41736111111</v>
      </c>
      <c r="D3560" t="inlineStr">
        <is>
          <t>G1</t>
        </is>
      </c>
      <c r="E3560" t="inlineStr">
        <is>
          <t>HAITIANOS</t>
        </is>
      </c>
      <c r="F3560" t="inlineStr"/>
      <c r="G3560" t="inlineStr">
        <is>
          <t>R ONLINE</t>
        </is>
      </c>
      <c r="H3560" t="inlineStr">
        <is>
          <t>GOVERNO FEDERAL LIBERA R$ 900 MIL PARA CUIDADOS COM HAITIANOS</t>
        </is>
      </c>
      <c r="I3560" t="inlineStr"/>
      <c r="J3560">
        <f>HYPERLINK("http://g1.globo.com/economia/noticia/2012/01/governo-federal-libera-r-900-mil-para-cuidados-com-haitianos.html", "URL")</f>
        <v/>
      </c>
      <c r="K3560">
        <f>HYPERLINK("https://raw.githubusercontent.com/marcosmapl/dataset_imigrantes/main/noticias_filtered/g1/haitianos/2012/00_jan/html/g1_b928e500-22f9-11ed-b24f-6dbe51e79fca_2181.html", "HTML")</f>
        <v/>
      </c>
      <c r="L3560">
        <f>HYPERLINK("https://raw.githubusercontent.com/marcosmapl/dataset_imigrantes/main/noticias_filtered/g1/haitianos/2012/00_jan/txt/g1_b928e500-22f9-11ed-b24f-6dbe51e79fca_2181.txt", "TXT")</f>
        <v/>
      </c>
    </row>
    <row r="3561">
      <c r="A3561" s="1" t="n">
        <v>3559</v>
      </c>
      <c r="B3561" t="n">
        <v>2012</v>
      </c>
      <c r="C3561" s="2" t="n">
        <v>40937.84027777778</v>
      </c>
      <c r="D3561" t="inlineStr">
        <is>
          <t>G1</t>
        </is>
      </c>
      <c r="E3561" t="inlineStr">
        <is>
          <t>HAITIANOS</t>
        </is>
      </c>
      <c r="F3561" t="inlineStr"/>
      <c r="G3561" t="inlineStr">
        <is>
          <t>1 AM</t>
        </is>
      </c>
      <c r="H3561" t="inlineStr">
        <is>
          <t>MORTE DE HAITIANO EM MANAUS PODE TER MOTIVO PASSIONAL, DIZ POLÍCIA CIVIL</t>
        </is>
      </c>
      <c r="I3561" t="inlineStr"/>
      <c r="J3561">
        <f>HYPERLINK("http://g1.globo.com/am/amazonas/noticia/2012/01/morte-de-haitiano-em-manaus-pode-ter-motivo-passional-diz-policia-civil.html", "URL")</f>
        <v/>
      </c>
      <c r="K3561">
        <f>HYPERLINK("https://raw.githubusercontent.com/marcosmapl/dataset_imigrantes/main/noticias_filtered/g1/haitianos/2012/00_jan/html/g1_28a3e056-232c-11ed-b24f-6dbe51e79fca_4289.html", "HTML")</f>
        <v/>
      </c>
      <c r="L3561">
        <f>HYPERLINK("https://raw.githubusercontent.com/marcosmapl/dataset_imigrantes/main/noticias_filtered/g1/haitianos/2012/00_jan/txt/g1_28a3e056-232c-11ed-b24f-6dbe51e79fca_4289.txt", "TXT")</f>
        <v/>
      </c>
    </row>
    <row r="3562">
      <c r="A3562" s="1" t="n">
        <v>3560</v>
      </c>
      <c r="B3562" t="n">
        <v>2012</v>
      </c>
      <c r="C3562" s="2" t="n">
        <v>40937.10069444445</v>
      </c>
      <c r="D3562" t="inlineStr">
        <is>
          <t>A CRITICA</t>
        </is>
      </c>
      <c r="E3562" t="inlineStr">
        <is>
          <t>HAITIANOS</t>
        </is>
      </c>
      <c r="F3562" t="inlineStr">
        <is>
          <t>MANAUS</t>
        </is>
      </c>
      <c r="G3562" t="inlineStr">
        <is>
          <t>CASSANDRA CASTRO E MARIA DERZI</t>
        </is>
      </c>
      <c r="H3562" t="inlineStr">
        <is>
          <t>HAITIANO LEVA TIRO E MORRE EM BAIRRO DA ZONA LESTE DE MANAUS</t>
        </is>
      </c>
      <c r="I3562" t="inlineStr">
        <is>
          <t>A VÍTIMA ESTAVA PERTO DA CASA ONDE MORAVA QUANDO DOIS HOMENS PASSARAM EM UMA MOTOCICLETA E ATIRARAM NELE. A FAMÍLIA DE INOLUS JÁ FOI AVISADA</t>
        </is>
      </c>
      <c r="J3562">
        <f>HYPERLINK("https://www.acritica.com/manaus/haitiano-leva-tiro-e-morre-em-bairro-da-zona-leste-de-manaus-1.169785", "URL")</f>
        <v/>
      </c>
      <c r="K3562">
        <f>HYPERLINK("https://raw.githubusercontent.com/marcosmapl/dataset_imigrantes/main/noticias_filtered/a_critica/haitianos/2012/00_jan/html/1.169785_828.html", "HTML")</f>
        <v/>
      </c>
      <c r="L3562">
        <f>HYPERLINK("https://raw.githubusercontent.com/marcosmapl/dataset_imigrantes/main/noticias_filtered/a_critica/haitianos/2012/00_jan/txt/1.169785_828.txt", "TXT")</f>
        <v/>
      </c>
    </row>
    <row r="3563">
      <c r="A3563" s="1" t="n">
        <v>3561</v>
      </c>
      <c r="B3563" t="n">
        <v>2012</v>
      </c>
      <c r="C3563" s="2" t="n">
        <v>40936.79459490741</v>
      </c>
      <c r="D3563" t="inlineStr">
        <is>
          <t>A CRITICA</t>
        </is>
      </c>
      <c r="E3563" t="inlineStr">
        <is>
          <t>HAITIANOS</t>
        </is>
      </c>
      <c r="F3563" t="inlineStr">
        <is>
          <t>MANAUS</t>
        </is>
      </c>
      <c r="G3563" t="inlineStr">
        <is>
          <t>CASSANDRA CASTRO</t>
        </is>
      </c>
      <c r="H3563" t="inlineStr">
        <is>
          <t>SUPERINTENDÊNCIA REGIONAL DO TRABALHO FAZ MUTIRÃO PARA HAITIANOS</t>
        </is>
      </c>
      <c r="I3563" t="inlineStr">
        <is>
          <t>DURANTE TODA A MANHÃ DESTE SÁBADO (28), FUNCIONÁRIOS DA SRT-AM TRABALHARAM PARA PROVIDENCIAR EMISSÃO DE CARTEIRAS DE TRABALHO PARA HAITIANOS</t>
        </is>
      </c>
      <c r="J3563">
        <f>HYPERLINK("https://www.acritica.com/manaus/superintendencia-regional-do-trabalho-faz-mutir-o-para-haitianos-1.169753", "URL")</f>
        <v/>
      </c>
      <c r="K3563">
        <f>HYPERLINK("https://raw.githubusercontent.com/marcosmapl/dataset_imigrantes/main/noticias_filtered/a_critica/haitianos/2012/00_jan/html/1.169753_453.html", "HTML")</f>
        <v/>
      </c>
      <c r="L3563">
        <f>HYPERLINK("https://raw.githubusercontent.com/marcosmapl/dataset_imigrantes/main/noticias_filtered/a_critica/haitianos/2012/00_jan/txt/1.169753_453.txt", "TXT")</f>
        <v/>
      </c>
    </row>
    <row r="3564">
      <c r="A3564" s="1" t="n">
        <v>3562</v>
      </c>
      <c r="B3564" t="n">
        <v>2012</v>
      </c>
      <c r="C3564" s="2" t="n">
        <v>40936.71303240741</v>
      </c>
      <c r="D3564" t="inlineStr">
        <is>
          <t>A CRITICA</t>
        </is>
      </c>
      <c r="E3564" t="inlineStr">
        <is>
          <t>HAITIANOS</t>
        </is>
      </c>
      <c r="F3564" t="inlineStr">
        <is>
          <t>AMAZONIA</t>
        </is>
      </c>
      <c r="G3564" t="inlineStr">
        <is>
          <t>LEANDRO PRAZERES</t>
        </is>
      </c>
      <c r="H3564" t="inlineStr">
        <is>
          <t>QUADRILHAS DE "COIOTES" JÁ ATUAM JUNTO AOS HAITIANOS QUE PROCURAM ENTRAR NO BRASIL</t>
        </is>
      </c>
      <c r="I3564" t="inlineStr">
        <is>
          <t>QUADRILHAS DE TRÁFICO DE PESSOAS JÁ ESTÃO ATUANDO EM ROTAS QUE OPERAM TANTO DENTRO QUANTO FORA DO BRASIL</t>
        </is>
      </c>
      <c r="J3564">
        <f>HYPERLINK("https://www.acritica.com/amazonia/quadrilhas-de-coiotes-ja-atuam-junto-aos-haitianos-que-procuram-entrar-no-brasil-1.169812", "URL")</f>
        <v/>
      </c>
      <c r="K3564">
        <f>HYPERLINK("https://raw.githubusercontent.com/marcosmapl/dataset_imigrantes/main/noticias_filtered/a_critica/haitianos/2012/00_jan/html/1.169812_274.html", "HTML")</f>
        <v/>
      </c>
      <c r="L3564">
        <f>HYPERLINK("https://raw.githubusercontent.com/marcosmapl/dataset_imigrantes/main/noticias_filtered/a_critica/haitianos/2012/00_jan/txt/1.169812_274.txt", "TXT")</f>
        <v/>
      </c>
    </row>
    <row r="3565">
      <c r="A3565" s="1" t="n">
        <v>3563</v>
      </c>
      <c r="B3565" t="n">
        <v>2012</v>
      </c>
      <c r="C3565" s="2" t="n">
        <v>40936.64097222222</v>
      </c>
      <c r="D3565" t="inlineStr">
        <is>
          <t>G1</t>
        </is>
      </c>
      <c r="E3565" t="inlineStr">
        <is>
          <t>HAITIANOS</t>
        </is>
      </c>
      <c r="F3565" t="inlineStr"/>
      <c r="G3565" t="inlineStr">
        <is>
          <t>1 AM</t>
        </is>
      </c>
      <c r="H3565" t="inlineStr">
        <is>
          <t>PROFESSOR HAITIANO É MORTO A TIROS NA ZONA NORTE DE MANAUS</t>
        </is>
      </c>
      <c r="I3565" t="inlineStr"/>
      <c r="J3565">
        <f>HYPERLINK("http://g1.globo.com/am/amazonas/noticia/2012/01/professor-haitiano-e-morto-tiros-na-zona-norte-de-manaus.html", "URL")</f>
        <v/>
      </c>
      <c r="K3565">
        <f>HYPERLINK("https://raw.githubusercontent.com/marcosmapl/dataset_imigrantes/main/noticias_filtered/g1/haitianos/2012/00_jan/html/g1_57577fb2-231c-11ed-b24f-6dbe51e79fca_3441.html", "HTML")</f>
        <v/>
      </c>
      <c r="L3565">
        <f>HYPERLINK("https://raw.githubusercontent.com/marcosmapl/dataset_imigrantes/main/noticias_filtered/g1/haitianos/2012/00_jan/txt/g1_57577fb2-231c-11ed-b24f-6dbe51e79fca_3441.txt", "TXT")</f>
        <v/>
      </c>
    </row>
    <row r="3566">
      <c r="A3566" s="1" t="n">
        <v>3564</v>
      </c>
      <c r="B3566" t="n">
        <v>2012</v>
      </c>
      <c r="C3566" s="2" t="n">
        <v>40936.55725694444</v>
      </c>
      <c r="D3566" t="inlineStr">
        <is>
          <t>A CRITICA</t>
        </is>
      </c>
      <c r="E3566" t="inlineStr">
        <is>
          <t>HAITIANOS</t>
        </is>
      </c>
      <c r="F3566" t="inlineStr">
        <is>
          <t>MANAUS</t>
        </is>
      </c>
      <c r="G3566" t="inlineStr">
        <is>
          <t>MARIANA LIMA</t>
        </is>
      </c>
      <c r="H3566" t="inlineStr">
        <is>
          <t>MORRE O PRIMEIRO HAITIANO EM MANAUS</t>
        </is>
      </c>
      <c r="I3566" t="inlineStr">
        <is>
          <t>UM RAPAZ, DE NOME NÃO IDENTIFICADO, MORREU NA ÚLTIMA SEGUNDA-FEIRA (23), NA FUNDAÇÃO DE MEDICINA TROPICAL DECORRENTE DE AIDS. ESTE É O PRIMEIRO ÓBITO REGISTRADO DE HAITIANOS NA CIDADE</t>
        </is>
      </c>
      <c r="J3566">
        <f>HYPERLINK("https://www.acritica.com/manaus/morre-o-primeiro-haitiano-em-manaus-1.170468", "URL")</f>
        <v/>
      </c>
      <c r="K3566">
        <f>HYPERLINK("https://raw.githubusercontent.com/marcosmapl/dataset_imigrantes/main/noticias_filtered/a_critica/haitianos/2012/00_jan/html/1.170468_844.html", "HTML")</f>
        <v/>
      </c>
      <c r="L3566">
        <f>HYPERLINK("https://raw.githubusercontent.com/marcosmapl/dataset_imigrantes/main/noticias_filtered/a_critica/haitianos/2012/00_jan/txt/1.170468_844.txt", "TXT")</f>
        <v/>
      </c>
    </row>
    <row r="3567">
      <c r="A3567" s="1" t="n">
        <v>3565</v>
      </c>
      <c r="B3567" t="n">
        <v>2012</v>
      </c>
      <c r="C3567" s="2" t="n">
        <v>40936.32291666666</v>
      </c>
      <c r="D3567" t="inlineStr">
        <is>
          <t>G1</t>
        </is>
      </c>
      <c r="E3567" t="inlineStr">
        <is>
          <t>HAITIANOS</t>
        </is>
      </c>
      <c r="F3567" t="inlineStr"/>
      <c r="G3567" t="inlineStr">
        <is>
          <t>CIA ESTADO</t>
        </is>
      </c>
      <c r="H3567" t="inlineStr">
        <is>
          <t>PF DEPORTA DOIS HAITIANOS EM CUMBICA</t>
        </is>
      </c>
      <c r="I3567" t="inlineStr"/>
      <c r="J3567">
        <f>HYPERLINK("http://g1.globo.com/brasil/noticia/2012/01/pf-deporta-dois-haitianos-em-cumbica.html", "URL")</f>
        <v/>
      </c>
      <c r="K3567">
        <f>HYPERLINK("https://raw.githubusercontent.com/marcosmapl/dataset_imigrantes/main/noticias_filtered/g1/haitianos/2012/00_jan/html/g1_e8e798f2-22f6-11ed-b24f-6dbe51e79fca_2047.html", "HTML")</f>
        <v/>
      </c>
      <c r="L3567">
        <f>HYPERLINK("https://raw.githubusercontent.com/marcosmapl/dataset_imigrantes/main/noticias_filtered/g1/haitianos/2012/00_jan/txt/g1_e8e798f2-22f6-11ed-b24f-6dbe51e79fca_2047.txt", "TXT")</f>
        <v/>
      </c>
    </row>
    <row r="3568">
      <c r="A3568" s="1" t="n">
        <v>3566</v>
      </c>
      <c r="B3568" t="n">
        <v>2012</v>
      </c>
      <c r="C3568" s="2" t="n">
        <v>40935.96299768519</v>
      </c>
      <c r="D3568" t="inlineStr">
        <is>
          <t>A CRITICA</t>
        </is>
      </c>
      <c r="E3568" t="inlineStr">
        <is>
          <t>HAITIANOS</t>
        </is>
      </c>
      <c r="F3568" t="inlineStr">
        <is>
          <t>MANAUS</t>
        </is>
      </c>
      <c r="G3568" t="inlineStr">
        <is>
          <t>ACRÍTICA.COM</t>
        </is>
      </c>
      <c r="H3568" t="inlineStr">
        <is>
          <t>GOVERNO DO AMAZONAS ANUNCIA APOIO AOS HAITIANOS EM MANAUS</t>
        </is>
      </c>
      <c r="I3568" t="inlineStr">
        <is>
          <t>SERÃO DISPONIBILIZADOS APROXIMADAMENTE R$ 400 MIL PARA ALUGUEL DE ABRIGO, ALÉM DE COMPRAS DE MANTIMENTOS E DOAÇÃO DE 300 COLCHÕES</t>
        </is>
      </c>
      <c r="J3568">
        <f>HYPERLINK("https://www.acritica.com/manaus/governo-do-amazonas-anuncia-apoio-aos-haitianos-em-manaus-1.169819", "URL")</f>
        <v/>
      </c>
      <c r="K3568">
        <f>HYPERLINK("https://raw.githubusercontent.com/marcosmapl/dataset_imigrantes/main/noticias_filtered/a_critica/haitianos/2012/00_jan/html/1.169819_663.html", "HTML")</f>
        <v/>
      </c>
      <c r="L3568">
        <f>HYPERLINK("https://raw.githubusercontent.com/marcosmapl/dataset_imigrantes/main/noticias_filtered/a_critica/haitianos/2012/00_jan/txt/1.169819_663.txt", "TXT")</f>
        <v/>
      </c>
    </row>
    <row r="3569">
      <c r="A3569" s="1" t="n">
        <v>3567</v>
      </c>
      <c r="B3569" t="n">
        <v>2012</v>
      </c>
      <c r="C3569" s="2" t="n">
        <v>40935.7931712963</v>
      </c>
      <c r="D3569" t="inlineStr">
        <is>
          <t>A CRITICA</t>
        </is>
      </c>
      <c r="E3569" t="inlineStr">
        <is>
          <t>HAITIANOS</t>
        </is>
      </c>
      <c r="F3569" t="inlineStr">
        <is>
          <t>AMAZONIA</t>
        </is>
      </c>
      <c r="G3569" t="inlineStr">
        <is>
          <t>ELAÍZE FARIAS</t>
        </is>
      </c>
      <c r="H3569" t="inlineStr">
        <is>
          <t>SRTE DO AMAZONAS ACOMPANHARÁ RECRUTAMENTO DE HAITIANOS PARA OUTROS ESTADOS</t>
        </is>
      </c>
      <c r="I3569" t="inlineStr">
        <is>
          <t>CONTRATAÇÃO DE IMIGRANTES DEVE OBEDECER NORMAS POR PARTE DAS EMPRESAS. ATÉ AGORA, DUAS EMPRESAS JÁ ENTRARAM EM CONTATO COM A SRTA</t>
        </is>
      </c>
      <c r="J3569">
        <f>HYPERLINK("https://www.acritica.com/amazonia/srte-do-amazonas-acompanhara-recrutamento-de-haitianos-para-outros-estados-1.169612", "URL")</f>
        <v/>
      </c>
      <c r="K3569">
        <f>HYPERLINK("https://raw.githubusercontent.com/marcosmapl/dataset_imigrantes/main/noticias_filtered/a_critica/haitianos/2012/00_jan/html/1.169612_1287.html", "HTML")</f>
        <v/>
      </c>
      <c r="L3569">
        <f>HYPERLINK("https://raw.githubusercontent.com/marcosmapl/dataset_imigrantes/main/noticias_filtered/a_critica/haitianos/2012/00_jan/txt/1.169612_1287.txt", "TXT")</f>
        <v/>
      </c>
    </row>
    <row r="3570">
      <c r="A3570" s="1" t="n">
        <v>3568</v>
      </c>
      <c r="B3570" t="n">
        <v>2012</v>
      </c>
      <c r="C3570" s="2" t="n">
        <v>40935.70972222222</v>
      </c>
      <c r="D3570" t="inlineStr">
        <is>
          <t>G1</t>
        </is>
      </c>
      <c r="E3570" t="inlineStr">
        <is>
          <t>HAITIANOS</t>
        </is>
      </c>
      <c r="F3570" t="inlineStr"/>
      <c r="G3570" t="inlineStr">
        <is>
          <t>1 AM</t>
        </is>
      </c>
      <c r="H3570" t="inlineStr">
        <is>
          <t>UNIVERSIDADE FEDERAL DO AMAZONAS LANÇARÁ EDITAL PARA APOIAR HAITIANOS</t>
        </is>
      </c>
      <c r="I3570" t="inlineStr"/>
      <c r="J3570">
        <f>HYPERLINK("http://g1.globo.com/am/amazonas/noticia/2012/01/universidade-federal-do-amazonas-lancara-edital-para-apoiar-haitianos.html", "URL")</f>
        <v/>
      </c>
      <c r="K3570">
        <f>HYPERLINK("https://raw.githubusercontent.com/marcosmapl/dataset_imigrantes/main/noticias_filtered/g1/haitianos/2012/00_jan/html/g1_b5070e46-22f6-11ed-b24f-6dbe51e79fca_2031.html", "HTML")</f>
        <v/>
      </c>
      <c r="L3570">
        <f>HYPERLINK("https://raw.githubusercontent.com/marcosmapl/dataset_imigrantes/main/noticias_filtered/g1/haitianos/2012/00_jan/txt/g1_b5070e46-22f6-11ed-b24f-6dbe51e79fca_2031.txt", "TXT")</f>
        <v/>
      </c>
    </row>
    <row r="3571">
      <c r="A3571" s="1" t="n">
        <v>3569</v>
      </c>
      <c r="B3571" t="n">
        <v>2012</v>
      </c>
      <c r="C3571" s="2" t="n">
        <v>40935.50972222222</v>
      </c>
      <c r="D3571" t="inlineStr">
        <is>
          <t>G1</t>
        </is>
      </c>
      <c r="E3571" t="inlineStr">
        <is>
          <t>HAITIANOS</t>
        </is>
      </c>
      <c r="F3571" t="inlineStr"/>
      <c r="G3571" t="inlineStr">
        <is>
          <t>OS EDUARDO MATOSDO G1 AM</t>
        </is>
      </c>
      <c r="H3571" t="inlineStr">
        <is>
          <t>MORTE DE HAITIANO COM HIV DEIXA SAÚDE PÚBLICA EM ALERTA NO AMAZONAS</t>
        </is>
      </c>
      <c r="I3571" t="inlineStr"/>
      <c r="J3571">
        <f>HYPERLINK("http://g1.globo.com/am/amazonas/noticia/2012/01/morte-de-haitiano-com-hiv-deixa-saude-publica-em-alerta-no-amazonas.html", "URL")</f>
        <v/>
      </c>
      <c r="K3571">
        <f>HYPERLINK("https://raw.githubusercontent.com/marcosmapl/dataset_imigrantes/main/noticias_filtered/g1/haitianos/2012/00_jan/html/g1_a8175ec2-231c-11ed-b24f-6dbe51e79fca_3458.html", "HTML")</f>
        <v/>
      </c>
      <c r="L3571">
        <f>HYPERLINK("https://raw.githubusercontent.com/marcosmapl/dataset_imigrantes/main/noticias_filtered/g1/haitianos/2012/00_jan/txt/g1_a8175ec2-231c-11ed-b24f-6dbe51e79fca_3458.txt", "TXT")</f>
        <v/>
      </c>
    </row>
    <row r="3572">
      <c r="A3572" s="1" t="n">
        <v>3570</v>
      </c>
      <c r="B3572" t="n">
        <v>2012</v>
      </c>
      <c r="C3572" s="2" t="n">
        <v>40935.48284722222</v>
      </c>
      <c r="D3572" t="inlineStr">
        <is>
          <t>A CRITICA</t>
        </is>
      </c>
      <c r="E3572" t="inlineStr">
        <is>
          <t>HAITIANOS</t>
        </is>
      </c>
      <c r="F3572" t="inlineStr">
        <is>
          <t>AMAZONIA</t>
        </is>
      </c>
      <c r="G3572" t="inlineStr">
        <is>
          <t>LEANDRO PRAZERES</t>
        </is>
      </c>
      <c r="H3572" t="inlineStr">
        <is>
          <t>IMIGRANTES HAITIANOS RESISTEM ÀS TENTAÇÕES DO MUNDO DO NARCOTRÁFICO EXISTENTE NO INTERIOR DO AMAZONAS</t>
        </is>
      </c>
      <c r="I3572" t="inlineStr">
        <is>
          <t>ENTRE A POBREZA E A DESESPERANÇA, A COMUNIDADE HAITIANA NÃO SE RENDE AO TENTADOR E PERIGOSO MUNDO DO TRÁFICO DE DROGAS</t>
        </is>
      </c>
      <c r="J3572">
        <f>HYPERLINK("https://www.acritica.com/amazonia/imigrantes-haitianos-resistem-as-tentac-es-do-mundo-do-narcotrafico-existente-no-interior-do-amazonas-1.169688", "URL")</f>
        <v/>
      </c>
      <c r="K3572">
        <f>HYPERLINK("https://raw.githubusercontent.com/marcosmapl/dataset_imigrantes/main/noticias_filtered/a_critica/haitianos/2012/00_jan/html/1.169688_1238.html", "HTML")</f>
        <v/>
      </c>
      <c r="L3572">
        <f>HYPERLINK("https://raw.githubusercontent.com/marcosmapl/dataset_imigrantes/main/noticias_filtered/a_critica/haitianos/2012/00_jan/txt/1.169688_1238.txt", "TXT")</f>
        <v/>
      </c>
    </row>
    <row r="3573">
      <c r="A3573" s="1" t="n">
        <v>3571</v>
      </c>
      <c r="B3573" t="n">
        <v>2012</v>
      </c>
      <c r="C3573" s="2" t="n">
        <v>40934.52670138889</v>
      </c>
      <c r="D3573" t="inlineStr">
        <is>
          <t>A CRITICA</t>
        </is>
      </c>
      <c r="E3573" t="inlineStr">
        <is>
          <t>HAITIANOS</t>
        </is>
      </c>
      <c r="F3573" t="inlineStr">
        <is>
          <t>MANAUS</t>
        </is>
      </c>
      <c r="G3573" t="inlineStr">
        <is>
          <t>FELIPE LIBÓRIO</t>
        </is>
      </c>
      <c r="H3573" t="inlineStr">
        <is>
          <t>COLOCAÇÃO NO MERCADO DE TRABALHO É SINÔNIMO DE RECOMEÇO PARA HAITIANOS QUE VIVEM EM MANAUS</t>
        </is>
      </c>
      <c r="I3573" t="inlineStr">
        <is>
          <t>MAIS QUE SOBREVIVÊNCIA, CONSEGUIR EMPREGO É O INÍCIO DE UM PROCESSO DE RECONSTRUÇÃO DA VIDA DE QUEM VEIO A MANAUS</t>
        </is>
      </c>
      <c r="J3573">
        <f>HYPERLINK("https://www.acritica.com/manaus/colocac-o-no-mercado-de-trabalho-e-sinonimo-de-recomeco-para-haitianos-que-vivem-em-manaus-1.104055", "URL")</f>
        <v/>
      </c>
      <c r="K3573">
        <f>HYPERLINK("https://raw.githubusercontent.com/marcosmapl/dataset_imigrantes/main/noticias_filtered/a_critica/haitianos/2012/00_jan/html/1.104055_1293.html", "HTML")</f>
        <v/>
      </c>
      <c r="L3573">
        <f>HYPERLINK("https://raw.githubusercontent.com/marcosmapl/dataset_imigrantes/main/noticias_filtered/a_critica/haitianos/2012/00_jan/txt/1.104055_1293.txt", "TXT")</f>
        <v/>
      </c>
    </row>
    <row r="3574">
      <c r="A3574" s="1" t="n">
        <v>3572</v>
      </c>
      <c r="B3574" t="n">
        <v>2012</v>
      </c>
      <c r="C3574" s="2" t="n">
        <v>40934.50451388889</v>
      </c>
      <c r="D3574" t="inlineStr">
        <is>
          <t>A CRITICA</t>
        </is>
      </c>
      <c r="E3574" t="inlineStr">
        <is>
          <t>HAITIANOS</t>
        </is>
      </c>
      <c r="F3574" t="inlineStr">
        <is>
          <t>MANAUS</t>
        </is>
      </c>
      <c r="G3574" t="inlineStr">
        <is>
          <t>FELIPE LIBÓRIO</t>
        </is>
      </c>
      <c r="H3574" t="inlineStr">
        <is>
          <t>HAITIANOS QUE CHEGARAM NA ÚLTIMA TERÇA-FEIRA A MANAUS RECEBEM APOIO</t>
        </is>
      </c>
      <c r="I3574" t="inlineStr">
        <is>
          <t>GRUPO DE 208 HAITIANOS COMEÇA A SE AMBIENTAR À CIDADE. O APOIO VEM DE COMPATRIOTAS QUE ESTÃO HÁ MAIS TEMPO EM MANAUS , DA IGREJA E COMUNIDADE</t>
        </is>
      </c>
      <c r="J3574">
        <f>HYPERLINK("https://www.acritica.com/manaus/haitianos-que-chegaram-na-ultima-terca-feira-a-manaus-recebem-apoio-1.104063", "URL")</f>
        <v/>
      </c>
      <c r="K3574">
        <f>HYPERLINK("https://raw.githubusercontent.com/marcosmapl/dataset_imigrantes/main/noticias_filtered/a_critica/haitianos/2012/00_jan/html/1.104063_1010.html", "HTML")</f>
        <v/>
      </c>
      <c r="L3574">
        <f>HYPERLINK("https://raw.githubusercontent.com/marcosmapl/dataset_imigrantes/main/noticias_filtered/a_critica/haitianos/2012/00_jan/txt/1.104063_1010.txt", "TXT")</f>
        <v/>
      </c>
    </row>
    <row r="3575">
      <c r="A3575" s="1" t="n">
        <v>3573</v>
      </c>
      <c r="B3575" t="n">
        <v>2012</v>
      </c>
      <c r="C3575" s="2" t="n">
        <v>40933.98611111111</v>
      </c>
      <c r="D3575" t="inlineStr">
        <is>
          <t>G1</t>
        </is>
      </c>
      <c r="E3575" t="inlineStr">
        <is>
          <t>HAITIANOS</t>
        </is>
      </c>
      <c r="F3575" t="inlineStr"/>
      <c r="G3575" t="inlineStr">
        <is>
          <t>NA SOUZADO G1 AM</t>
        </is>
      </c>
      <c r="H3575" t="inlineStr">
        <is>
          <t>GOVERNADOR DO AM DIZ PARA 'GOVERNO FEDERAL LEVAR HAITIANOS PARA BRASÍLIA'</t>
        </is>
      </c>
      <c r="I3575" t="inlineStr"/>
      <c r="J3575">
        <f>HYPERLINK("http://g1.globo.com/am/amazonas/noticia/2012/01/governador-do-am-diz-para-governo-federal-levar-haitianos-para-brasilia.html", "URL")</f>
        <v/>
      </c>
      <c r="K3575">
        <f>HYPERLINK("https://raw.githubusercontent.com/marcosmapl/dataset_imigrantes/main/noticias_filtered/g1/haitianos/2012/00_jan/html/g1_e9835e74-2317-11ed-b24f-6dbe51e79fca_3234.html", "HTML")</f>
        <v/>
      </c>
      <c r="L3575">
        <f>HYPERLINK("https://raw.githubusercontent.com/marcosmapl/dataset_imigrantes/main/noticias_filtered/g1/haitianos/2012/00_jan/txt/g1_e9835e74-2317-11ed-b24f-6dbe51e79fca_3234.txt", "TXT")</f>
        <v/>
      </c>
    </row>
    <row r="3576">
      <c r="A3576" s="1" t="n">
        <v>3574</v>
      </c>
      <c r="B3576" t="n">
        <v>2012</v>
      </c>
      <c r="C3576" s="2" t="n">
        <v>40933.89791666667</v>
      </c>
      <c r="D3576" t="inlineStr">
        <is>
          <t>G1</t>
        </is>
      </c>
      <c r="E3576" t="inlineStr">
        <is>
          <t>HAITIANOS</t>
        </is>
      </c>
      <c r="F3576" t="inlineStr"/>
      <c r="G3576" t="inlineStr">
        <is>
          <t>EL SCOLADA RBS TV</t>
        </is>
      </c>
      <c r="H3576" t="inlineStr">
        <is>
          <t>HAITIANOS REFUGIADOS COMEÇAM A TRABALHAR NO RIO GRANDE DO SUL</t>
        </is>
      </c>
      <c r="I3576" t="inlineStr"/>
      <c r="J3576">
        <f>HYPERLINK("http://g1.globo.com/rs/rio-grande-do-sul/noticia/2012/01/haitianos-refugiados-comecam-trabalhar-no-rio-grande-do-sul.html", "URL")</f>
        <v/>
      </c>
      <c r="K3576">
        <f>HYPERLINK("https://raw.githubusercontent.com/marcosmapl/dataset_imigrantes/main/noticias_filtered/g1/haitianos/2012/00_jan/html/g1_6955cb5a-22fa-11ed-b24f-6dbe51e79fca_2218.html", "HTML")</f>
        <v/>
      </c>
      <c r="L3576">
        <f>HYPERLINK("https://raw.githubusercontent.com/marcosmapl/dataset_imigrantes/main/noticias_filtered/g1/haitianos/2012/00_jan/txt/g1_6955cb5a-22fa-11ed-b24f-6dbe51e79fca_2218.txt", "TXT")</f>
        <v/>
      </c>
    </row>
    <row r="3577">
      <c r="A3577" s="1" t="n">
        <v>3575</v>
      </c>
      <c r="B3577" t="n">
        <v>2012</v>
      </c>
      <c r="C3577" s="2" t="n">
        <v>40933.87628472222</v>
      </c>
      <c r="D3577" t="inlineStr">
        <is>
          <t>A CRITICA</t>
        </is>
      </c>
      <c r="E3577" t="inlineStr">
        <is>
          <t>HAITIANOS</t>
        </is>
      </c>
      <c r="F3577" t="inlineStr">
        <is>
          <t>AMAZONIA</t>
        </is>
      </c>
      <c r="G3577" t="inlineStr">
        <is>
          <t>ELAÍZE FARIAS</t>
        </is>
      </c>
      <c r="H3577" t="inlineStr">
        <is>
          <t>GOVERNO FEDERAL ENVIARÁ MISSÃO AO AMAZONAS PARA AVALIAR SITUAÇÃO DOS HAITIANOS, DIZ MDS</t>
        </is>
      </c>
      <c r="I3577" t="inlineStr">
        <is>
          <t>NESTA QUINTA-FEIRA, O GOVERNADOR OMAR AZIZ DEFENDEU QUE É PAPEL DO GOVERNO FEDERAL AJUDAR IMIGRANTES HAITIANOS</t>
        </is>
      </c>
      <c r="J3577">
        <f>HYPERLINK("https://www.acritica.com/amazonia/governo-federal-enviara-miss-o-ao-amazonas-para-avaliar-situac-o-dos-haitianos-diz-mds-1.104180", "URL")</f>
        <v/>
      </c>
      <c r="K3577">
        <f>HYPERLINK("https://raw.githubusercontent.com/marcosmapl/dataset_imigrantes/main/noticias_filtered/a_critica/haitianos/2012/00_jan/html/1.104180_359.html", "HTML")</f>
        <v/>
      </c>
      <c r="L3577">
        <f>HYPERLINK("https://raw.githubusercontent.com/marcosmapl/dataset_imigrantes/main/noticias_filtered/a_critica/haitianos/2012/00_jan/txt/1.104180_359.txt", "TXT")</f>
        <v/>
      </c>
    </row>
    <row r="3578">
      <c r="A3578" s="1" t="n">
        <v>3576</v>
      </c>
      <c r="B3578" t="n">
        <v>2012</v>
      </c>
      <c r="C3578" s="2" t="n">
        <v>40933.85107638889</v>
      </c>
      <c r="D3578" t="inlineStr">
        <is>
          <t>A CRITICA</t>
        </is>
      </c>
      <c r="E3578" t="inlineStr">
        <is>
          <t>HAITIANOS</t>
        </is>
      </c>
      <c r="F3578" t="inlineStr">
        <is>
          <t>AMAZONIA</t>
        </is>
      </c>
      <c r="G3578" t="inlineStr">
        <is>
          <t>SÍNTIA MACIEL E JOELMA MUNIZ</t>
        </is>
      </c>
      <c r="H3578" t="inlineStr">
        <is>
          <t>GOVERNADOR DO AMAZONAS AFIRMA QUE REFUGIADOS HAITIANOS SÃO PROBLEMA DO GOVERNO FEDERAL</t>
        </is>
      </c>
      <c r="I3578" t="inlineStr">
        <is>
          <t>APESAR DAS CRÍTICAS, OMAR AZIZ SE DISSE SOLIDÁRIO AOS IMIGRANTES E QUE ESTÁ DISPOSTO A COLABORAR</t>
        </is>
      </c>
      <c r="J3578">
        <f>HYPERLINK("https://www.acritica.com/amazonia/governador-do-amazonas-afirma-que-refugiados-haitianos-s-o-problema-do-governo-federal-1.104204", "URL")</f>
        <v/>
      </c>
      <c r="K3578">
        <f>HYPERLINK("https://raw.githubusercontent.com/marcosmapl/dataset_imigrantes/main/noticias_filtered/a_critica/haitianos/2012/00_jan/html/1.104204_1253.html", "HTML")</f>
        <v/>
      </c>
      <c r="L3578">
        <f>HYPERLINK("https://raw.githubusercontent.com/marcosmapl/dataset_imigrantes/main/noticias_filtered/a_critica/haitianos/2012/00_jan/txt/1.104204_1253.txt", "TXT")</f>
        <v/>
      </c>
    </row>
    <row r="3579">
      <c r="A3579" s="1" t="n">
        <v>3577</v>
      </c>
      <c r="B3579" t="n">
        <v>2012</v>
      </c>
      <c r="C3579" s="2" t="n">
        <v>40933.775</v>
      </c>
      <c r="D3579" t="inlineStr">
        <is>
          <t>G1</t>
        </is>
      </c>
      <c r="E3579" t="inlineStr">
        <is>
          <t>HAITIANOS</t>
        </is>
      </c>
      <c r="F3579" t="inlineStr"/>
      <c r="G3579" t="inlineStr">
        <is>
          <t>ERS</t>
        </is>
      </c>
      <c r="H3579" t="inlineStr">
        <is>
          <t>BRASIL DISCUTIRÁ IMIGRAÇÃO COM AUTORIDADES HAITIANAS--PATRIOTA</t>
        </is>
      </c>
      <c r="I3579" t="inlineStr"/>
      <c r="J3579">
        <f>HYPERLINK("http://g1.globo.com/politica/noticia/2012/01/brasil-discutira-imigracao-com-autoridades-haitianas-patriota-6.html", "URL")</f>
        <v/>
      </c>
      <c r="K3579">
        <f>HYPERLINK("https://raw.githubusercontent.com/marcosmapl/dataset_imigrantes/main/noticias_filtered/g1/haitianos/2012/00_jan/html/g1_867af080-230d-11ed-b24f-6dbe51e79fca_2694.html", "HTML")</f>
        <v/>
      </c>
      <c r="L3579">
        <f>HYPERLINK("https://raw.githubusercontent.com/marcosmapl/dataset_imigrantes/main/noticias_filtered/g1/haitianos/2012/00_jan/txt/g1_867af080-230d-11ed-b24f-6dbe51e79fca_2694.txt", "TXT")</f>
        <v/>
      </c>
    </row>
    <row r="3580">
      <c r="A3580" s="1" t="n">
        <v>3578</v>
      </c>
      <c r="B3580" t="n">
        <v>2012</v>
      </c>
      <c r="C3580" s="2" t="n">
        <v>40933.77152777778</v>
      </c>
      <c r="D3580" t="inlineStr">
        <is>
          <t>G1</t>
        </is>
      </c>
      <c r="E3580" t="inlineStr">
        <is>
          <t>HAITIANOS</t>
        </is>
      </c>
      <c r="F3580" t="inlineStr"/>
      <c r="G3580" t="inlineStr">
        <is>
          <t>ERS</t>
        </is>
      </c>
      <c r="H3580" t="inlineStr">
        <is>
          <t>BRASIL DISCUTIRÁ IMIGRAÇÃO COM AUTORIDADES HAITIANAS--PATRIOTA</t>
        </is>
      </c>
      <c r="I3580" t="inlineStr"/>
      <c r="J3580">
        <f>HYPERLINK("http://g1.globo.com/mundo/noticia/2012/01/brasil-discutira-imigracao-com-autoridades-haitianas-patriota-5.html", "URL")</f>
        <v/>
      </c>
      <c r="K3580">
        <f>HYPERLINK("https://raw.githubusercontent.com/marcosmapl/dataset_imigrantes/main/noticias_filtered/g1/haitianos/2012/00_jan/html/g1_2847020e-22ec-11ed-b24f-6dbe51e79fca_1648.html", "HTML")</f>
        <v/>
      </c>
      <c r="L3580">
        <f>HYPERLINK("https://raw.githubusercontent.com/marcosmapl/dataset_imigrantes/main/noticias_filtered/g1/haitianos/2012/00_jan/txt/g1_2847020e-22ec-11ed-b24f-6dbe51e79fca_1648.txt", "TXT")</f>
        <v/>
      </c>
    </row>
    <row r="3581">
      <c r="A3581" s="1" t="n">
        <v>3579</v>
      </c>
      <c r="B3581" t="n">
        <v>2012</v>
      </c>
      <c r="C3581" s="2" t="n">
        <v>40933.77152777778</v>
      </c>
      <c r="D3581" t="inlineStr">
        <is>
          <t>G1</t>
        </is>
      </c>
      <c r="E3581" t="inlineStr">
        <is>
          <t>HAITIANOS</t>
        </is>
      </c>
      <c r="F3581" t="inlineStr"/>
      <c r="G3581" t="inlineStr">
        <is>
          <t>ERS</t>
        </is>
      </c>
      <c r="H3581" t="inlineStr">
        <is>
          <t>BRASIL DISCUTIRÁ IMIGRAÇÃO COM AUTORIDADES HAITIANAS--PATRIOTA</t>
        </is>
      </c>
      <c r="I3581" t="inlineStr"/>
      <c r="J3581">
        <f>HYPERLINK("http://g1.globo.com/mundo/noticia/2012/01/brasil-discutira-imigracao-com-autoridades-haitianas-patriota-4.html", "URL")</f>
        <v/>
      </c>
      <c r="K3581">
        <f>HYPERLINK("https://raw.githubusercontent.com/marcosmapl/dataset_imigrantes/main/noticias_filtered/g1/haitianos/2012/00_jan/html/g1_2232a1a8-2322-11ed-b24f-6dbe51e79fca_3736.html", "HTML")</f>
        <v/>
      </c>
      <c r="L3581">
        <f>HYPERLINK("https://raw.githubusercontent.com/marcosmapl/dataset_imigrantes/main/noticias_filtered/g1/haitianos/2012/00_jan/txt/g1_2232a1a8-2322-11ed-b24f-6dbe51e79fca_3736.txt", "TXT")</f>
        <v/>
      </c>
    </row>
    <row r="3582">
      <c r="A3582" s="1" t="n">
        <v>3580</v>
      </c>
      <c r="B3582" t="n">
        <v>2012</v>
      </c>
      <c r="C3582" s="2" t="n">
        <v>40933.76875</v>
      </c>
      <c r="D3582" t="inlineStr">
        <is>
          <t>G1</t>
        </is>
      </c>
      <c r="E3582" t="inlineStr">
        <is>
          <t>HAITIANOS</t>
        </is>
      </c>
      <c r="F3582" t="inlineStr"/>
      <c r="G3582" t="inlineStr">
        <is>
          <t>ERS</t>
        </is>
      </c>
      <c r="H3582" t="inlineStr">
        <is>
          <t>BRASIL DISCUTIRÁ IMIGRAÇÃO COM AUTORIDADES HAITIANAS--PATRIOTA</t>
        </is>
      </c>
      <c r="I3582" t="inlineStr"/>
      <c r="J3582">
        <f>HYPERLINK("http://g1.globo.com/politica/noticia/2012/01/brasil-discutira-imigracao-com-autoridades-haitianas-patriota-3.html", "URL")</f>
        <v/>
      </c>
      <c r="K3582">
        <f>HYPERLINK("https://raw.githubusercontent.com/marcosmapl/dataset_imigrantes/main/noticias_filtered/g1/haitianos/2012/00_jan/html/g1_d338a606-232b-11ed-b24f-6dbe51e79fca_4273.html", "HTML")</f>
        <v/>
      </c>
      <c r="L3582">
        <f>HYPERLINK("https://raw.githubusercontent.com/marcosmapl/dataset_imigrantes/main/noticias_filtered/g1/haitianos/2012/00_jan/txt/g1_d338a606-232b-11ed-b24f-6dbe51e79fca_4273.txt", "TXT")</f>
        <v/>
      </c>
    </row>
    <row r="3583">
      <c r="A3583" s="1" t="n">
        <v>3581</v>
      </c>
      <c r="B3583" t="n">
        <v>2012</v>
      </c>
      <c r="C3583" s="2" t="n">
        <v>40933.76875</v>
      </c>
      <c r="D3583" t="inlineStr">
        <is>
          <t>G1</t>
        </is>
      </c>
      <c r="E3583" t="inlineStr">
        <is>
          <t>HAITIANOS</t>
        </is>
      </c>
      <c r="F3583" t="inlineStr"/>
      <c r="G3583" t="inlineStr">
        <is>
          <t>ERS</t>
        </is>
      </c>
      <c r="H3583" t="inlineStr">
        <is>
          <t>BRASIL DISCUTIRÁ IMIGRAÇÃO COM AUTORIDADES HAITIANAS--PATRIOTA</t>
        </is>
      </c>
      <c r="I3583" t="inlineStr"/>
      <c r="J3583">
        <f>HYPERLINK("http://g1.globo.com/politica/noticia/2012/01/brasil-discutira-imigracao-com-autoridades-haitianas-patriota-2.html", "URL")</f>
        <v/>
      </c>
      <c r="K3583">
        <f>HYPERLINK("https://raw.githubusercontent.com/marcosmapl/dataset_imigrantes/main/noticias_filtered/g1/haitianos/2012/00_jan/html/g1_5c8689c0-231b-11ed-b24f-6dbe51e79fca_3381.html", "HTML")</f>
        <v/>
      </c>
      <c r="L3583">
        <f>HYPERLINK("https://raw.githubusercontent.com/marcosmapl/dataset_imigrantes/main/noticias_filtered/g1/haitianos/2012/00_jan/txt/g1_5c8689c0-231b-11ed-b24f-6dbe51e79fca_3381.txt", "TXT")</f>
        <v/>
      </c>
    </row>
    <row r="3584">
      <c r="A3584" s="1" t="n">
        <v>3582</v>
      </c>
      <c r="B3584" t="n">
        <v>2012</v>
      </c>
      <c r="C3584" s="2" t="n">
        <v>40933.55625</v>
      </c>
      <c r="D3584" t="inlineStr">
        <is>
          <t>G1</t>
        </is>
      </c>
      <c r="E3584" t="inlineStr">
        <is>
          <t>HAITIANOS</t>
        </is>
      </c>
      <c r="F3584" t="inlineStr"/>
      <c r="G3584" t="inlineStr">
        <is>
          <t>ERS</t>
        </is>
      </c>
      <c r="H3584" t="inlineStr">
        <is>
          <t>BRASIL DISCUTIRÁ IMIGRAÇÃO COM AUTORIDADES HAITIANAS--PATRIOTA</t>
        </is>
      </c>
      <c r="I3584" t="inlineStr"/>
      <c r="J3584">
        <f>HYPERLINK("http://g1.globo.com/politica/noticia/2012/01/brasil-discutira-imigracao-com-autoridades-haitianas-patriota.html", "URL")</f>
        <v/>
      </c>
      <c r="K3584">
        <f>HYPERLINK("https://raw.githubusercontent.com/marcosmapl/dataset_imigrantes/main/noticias_filtered/g1/haitianos/2012/00_jan/html/g1_4d0abe3c-2323-11ed-b24f-6dbe51e79fca_3798.html", "HTML")</f>
        <v/>
      </c>
      <c r="L3584">
        <f>HYPERLINK("https://raw.githubusercontent.com/marcosmapl/dataset_imigrantes/main/noticias_filtered/g1/haitianos/2012/00_jan/txt/g1_4d0abe3c-2323-11ed-b24f-6dbe51e79fca_3798.txt", "TXT")</f>
        <v/>
      </c>
    </row>
    <row r="3585">
      <c r="A3585" s="1" t="n">
        <v>3583</v>
      </c>
      <c r="B3585" t="n">
        <v>2012</v>
      </c>
      <c r="C3585" s="2" t="n">
        <v>40933.55625</v>
      </c>
      <c r="D3585" t="inlineStr">
        <is>
          <t>G1</t>
        </is>
      </c>
      <c r="E3585" t="inlineStr">
        <is>
          <t>HAITIANOS</t>
        </is>
      </c>
      <c r="F3585" t="inlineStr"/>
      <c r="G3585" t="inlineStr">
        <is>
          <t>ERS</t>
        </is>
      </c>
      <c r="H3585" t="inlineStr">
        <is>
          <t>BRASIL DISCUTIRÁ IMIGRAÇÃO COM AUTORIDADES HAITIANAS--PATRIOTA</t>
        </is>
      </c>
      <c r="I3585" t="inlineStr"/>
      <c r="J3585">
        <f>HYPERLINK("http://g1.globo.com/mundo/noticia/2012/01/brasil-discutira-imigracao-com-autoridades-haitianas-patriota-1.html", "URL")</f>
        <v/>
      </c>
      <c r="K3585">
        <f>HYPERLINK("https://raw.githubusercontent.com/marcosmapl/dataset_imigrantes/main/noticias_filtered/g1/haitianos/2012/00_jan/html/g1_e5e991ae-2310-11ed-b24f-6dbe51e79fca_2883.html", "HTML")</f>
        <v/>
      </c>
      <c r="L3585">
        <f>HYPERLINK("https://raw.githubusercontent.com/marcosmapl/dataset_imigrantes/main/noticias_filtered/g1/haitianos/2012/00_jan/txt/g1_e5e991ae-2310-11ed-b24f-6dbe51e79fca_2883.txt", "TXT")</f>
        <v/>
      </c>
    </row>
    <row r="3586">
      <c r="A3586" s="1" t="n">
        <v>3584</v>
      </c>
      <c r="B3586" t="n">
        <v>2012</v>
      </c>
      <c r="C3586" s="2" t="n">
        <v>40933.4375</v>
      </c>
      <c r="D3586" t="inlineStr">
        <is>
          <t>G1</t>
        </is>
      </c>
      <c r="E3586" t="inlineStr">
        <is>
          <t>HAITIANOS</t>
        </is>
      </c>
      <c r="F3586" t="inlineStr"/>
      <c r="G3586" t="inlineStr">
        <is>
          <t>1 GO, COM INFORMAÇÕES DA TV ANHANGUERA</t>
        </is>
      </c>
      <c r="H3586" t="inlineStr">
        <is>
          <t>MILITARES QUE ATUARÃO NO HAITI RECEBEM TREINAMENTO EM CRISTALINA (GO)</t>
        </is>
      </c>
      <c r="I3586" t="inlineStr"/>
      <c r="J3586">
        <f>HYPERLINK("http://g1.globo.com/goias/noticia/2012/01/militares-que-atuarao-no-haiti-recebem-treinamento-em-cristalina-go.html", "URL")</f>
        <v/>
      </c>
      <c r="K3586">
        <f>HYPERLINK("https://raw.githubusercontent.com/marcosmapl/dataset_imigrantes/main/noticias_filtered/g1/haitianos/2012/00_jan/html/g1_e7f2bc6e-230b-11ed-b24f-6dbe51e79fca_2595.html", "HTML")</f>
        <v/>
      </c>
      <c r="L3586">
        <f>HYPERLINK("https://raw.githubusercontent.com/marcosmapl/dataset_imigrantes/main/noticias_filtered/g1/haitianos/2012/00_jan/txt/g1_e7f2bc6e-230b-11ed-b24f-6dbe51e79fca_2595.txt", "TXT")</f>
        <v/>
      </c>
    </row>
    <row r="3587">
      <c r="A3587" s="1" t="n">
        <v>3585</v>
      </c>
      <c r="B3587" t="n">
        <v>2012</v>
      </c>
      <c r="C3587" s="2" t="n">
        <v>40933.41315972222</v>
      </c>
      <c r="D3587" t="inlineStr">
        <is>
          <t>A CRITICA</t>
        </is>
      </c>
      <c r="E3587" t="inlineStr">
        <is>
          <t>HAITIANOS</t>
        </is>
      </c>
      <c r="F3587" t="inlineStr"/>
      <c r="G3587" t="inlineStr">
        <is>
          <t>LEANDRO PRAZERES</t>
        </is>
      </c>
      <c r="H3587" t="inlineStr">
        <is>
          <t>NÚMERO DE MULHERES HAITIANAS QUE ENTRAM NO BRASIL , POR TABATINGA , MAIS QUE DOBROU EM MENOS DE UM ANO</t>
        </is>
      </c>
      <c r="I3587" t="inlineStr">
        <is>
          <t>MULHERES VÊM MUITAS VEZES, DEPOIS QUE MARIDOS CONSEGUEM EMPREGO NO BRASIL. ALGUMAS RESOLVEM TAMBÉM ARRISCAR A VIAGEM PARA TENTAR VIDA NOVA</t>
        </is>
      </c>
      <c r="J3587">
        <f>HYPERLINK("https://www.acritica.com/numero-de-mulheres-haitianas-que-entram-no-brasil-por-tabatinga-mais-que-dobrou-em-menos-de-um-ano-1.104262", "URL")</f>
        <v/>
      </c>
      <c r="K3587">
        <f>HYPERLINK("https://raw.githubusercontent.com/marcosmapl/dataset_imigrantes/main/noticias_filtered/a_critica/haitianos/2012/00_jan/html/1.104262_429.html", "HTML")</f>
        <v/>
      </c>
      <c r="L3587">
        <f>HYPERLINK("https://raw.githubusercontent.com/marcosmapl/dataset_imigrantes/main/noticias_filtered/a_critica/haitianos/2012/00_jan/txt/1.104262_429.txt", "TXT")</f>
        <v/>
      </c>
    </row>
    <row r="3588">
      <c r="A3588" s="1" t="n">
        <v>3586</v>
      </c>
      <c r="B3588" t="n">
        <v>2012</v>
      </c>
      <c r="C3588" s="2" t="n">
        <v>40933.0125</v>
      </c>
      <c r="D3588" t="inlineStr">
        <is>
          <t>G1</t>
        </is>
      </c>
      <c r="E3588" t="inlineStr">
        <is>
          <t>HAITIANOS</t>
        </is>
      </c>
      <c r="F3588" t="inlineStr"/>
      <c r="G3588" t="inlineStr">
        <is>
          <t>CIA EFE</t>
        </is>
      </c>
      <c r="H3588" t="inlineStr">
        <is>
          <t>MAIS DE 250 IMIGRANTES HAITIANOS PERMANECEM NA FRONTEIRA PERU-BRASIL</t>
        </is>
      </c>
      <c r="I3588" t="inlineStr"/>
      <c r="J3588">
        <f>HYPERLINK("http://g1.globo.com/mundo/noticia/2012/01/mais-de-250-imigrantes-haitianos-permanecem-na-fronteira-peru-brasil.html", "URL")</f>
        <v/>
      </c>
      <c r="K3588">
        <f>HYPERLINK("https://raw.githubusercontent.com/marcosmapl/dataset_imigrantes/main/noticias_filtered/g1/haitianos/2012/00_jan/html/g1_4403e092-22f2-11ed-b24f-6dbe51e79fca_1788.html", "HTML")</f>
        <v/>
      </c>
      <c r="L3588">
        <f>HYPERLINK("https://raw.githubusercontent.com/marcosmapl/dataset_imigrantes/main/noticias_filtered/g1/haitianos/2012/00_jan/txt/g1_4403e092-22f2-11ed-b24f-6dbe51e79fca_1788.txt", "TXT")</f>
        <v/>
      </c>
    </row>
    <row r="3589">
      <c r="A3589" s="1" t="n">
        <v>3587</v>
      </c>
      <c r="B3589" t="n">
        <v>2012</v>
      </c>
      <c r="C3589" s="2" t="n">
        <v>40932.95890046296</v>
      </c>
      <c r="D3589" t="inlineStr">
        <is>
          <t>A CRITICA</t>
        </is>
      </c>
      <c r="E3589" t="inlineStr">
        <is>
          <t>HAITIANOS</t>
        </is>
      </c>
      <c r="F3589" t="inlineStr"/>
      <c r="G3589" t="inlineStr">
        <is>
          <t>SÍNTIA MACIEL</t>
        </is>
      </c>
      <c r="H3589" t="inlineStr">
        <is>
          <t>CHEGADA DE MAIS DE 200 HAITIANOS EXPÕE FALTA DE ESTRUTURA PARA ABRIGAR REFUGIADOS EM MANAUS</t>
        </is>
      </c>
      <c r="I3589" t="inlineStr">
        <is>
          <t>INTEGRANTE DA PASTORAL DO MIGRANTE COBROU UMA POSIÇÃO DAS AUTORIDADES CONSTITUÍDAS PARA COM O CASO, BEM COMO AUXÍLIO DAS DEMAIS DENOMINAÇÕES CRISTÃS</t>
        </is>
      </c>
      <c r="J3589">
        <f>HYPERLINK("https://www.acritica.com/chegada-de-mais-de-200-haitianos-exp-e-falta-de-estrutura-para-abrigar-refugiados-em-manaus-1.169205", "URL")</f>
        <v/>
      </c>
      <c r="K3589">
        <f>HYPERLINK("https://raw.githubusercontent.com/marcosmapl/dataset_imigrantes/main/noticias_filtered/a_critica/haitianos/2012/00_jan/html/1.169205_56.html", "HTML")</f>
        <v/>
      </c>
      <c r="L3589">
        <f>HYPERLINK("https://raw.githubusercontent.com/marcosmapl/dataset_imigrantes/main/noticias_filtered/a_critica/haitianos/2012/00_jan/txt/1.169205_56.txt", "TXT")</f>
        <v/>
      </c>
    </row>
    <row r="3590">
      <c r="A3590" s="1" t="n">
        <v>3588</v>
      </c>
      <c r="B3590" t="n">
        <v>2012</v>
      </c>
      <c r="C3590" s="2" t="n">
        <v>40932.87847222222</v>
      </c>
      <c r="D3590" t="inlineStr">
        <is>
          <t>G1</t>
        </is>
      </c>
      <c r="E3590" t="inlineStr">
        <is>
          <t>HAITIANOS</t>
        </is>
      </c>
      <c r="F3590" t="inlineStr"/>
      <c r="G3590" t="inlineStr"/>
      <c r="H3590" t="inlineStr">
        <is>
          <t>FUNDAÇÃO ANUNCIA MORTE DE HAITIANA POR SUSPEITA DE DENGUE NO AMAZONAS</t>
        </is>
      </c>
      <c r="I3590" t="inlineStr"/>
      <c r="J3590">
        <f>HYPERLINK("http://g1.globo.com/jornal-nacional/noticia/2012/01/fundacao-anuncia-morte-de-haitiana-por-suspeita-de-dengue-no-amazonas.html", "URL")</f>
        <v/>
      </c>
      <c r="K3590">
        <f>HYPERLINK("https://raw.githubusercontent.com/marcosmapl/dataset_imigrantes/main/noticias_filtered/g1/haitianos/2012/00_jan/html/g1_821bafd2-231e-11ed-b24f-6dbe51e79fca_3566.html", "HTML")</f>
        <v/>
      </c>
      <c r="L3590">
        <f>HYPERLINK("https://raw.githubusercontent.com/marcosmapl/dataset_imigrantes/main/noticias_filtered/g1/haitianos/2012/00_jan/txt/g1_821bafd2-231e-11ed-b24f-6dbe51e79fca_3566.txt", "TXT")</f>
        <v/>
      </c>
    </row>
    <row r="3591">
      <c r="A3591" s="1" t="n">
        <v>3589</v>
      </c>
      <c r="B3591" t="n">
        <v>2012</v>
      </c>
      <c r="C3591" s="2" t="n">
        <v>40932.80638888889</v>
      </c>
      <c r="D3591" t="inlineStr">
        <is>
          <t>A CRITICA</t>
        </is>
      </c>
      <c r="E3591" t="inlineStr">
        <is>
          <t>HAITIANOS</t>
        </is>
      </c>
      <c r="F3591" t="inlineStr"/>
      <c r="G3591" t="inlineStr">
        <is>
          <t>SÍNTIA MACIEL</t>
        </is>
      </c>
      <c r="H3591" t="inlineStr">
        <is>
          <t>AMAZONAS REGISTRA PRIMEIRO ÓBITO DE IMIGRANTE HAITIANO NO BRASIL</t>
        </is>
      </c>
      <c r="I3591" t="inlineStr">
        <is>
          <t>APESAR DE TER MORRIDO DE DENGUE EM TABATINGA, CARMELITH BAPTISTE TERIA ENTRADO NO BRASIL COM A DOENÇA, CONFORME A SECRETARIA DE SAÚDE DO MUNICÍPIO</t>
        </is>
      </c>
      <c r="J3591">
        <f>HYPERLINK("https://www.acritica.com/amazonas-registra-primeiro-obito-de-imigrante-haitiano-no-brasil-1.170485", "URL")</f>
        <v/>
      </c>
      <c r="K3591">
        <f>HYPERLINK("https://raw.githubusercontent.com/marcosmapl/dataset_imigrantes/main/noticias_filtered/a_critica/haitianos/2012/00_jan/html/1.170485_871.html", "HTML")</f>
        <v/>
      </c>
      <c r="L3591">
        <f>HYPERLINK("https://raw.githubusercontent.com/marcosmapl/dataset_imigrantes/main/noticias_filtered/a_critica/haitianos/2012/00_jan/txt/1.170485_871.txt", "TXT")</f>
        <v/>
      </c>
    </row>
    <row r="3592">
      <c r="A3592" s="1" t="n">
        <v>3590</v>
      </c>
      <c r="B3592" t="n">
        <v>2012</v>
      </c>
      <c r="C3592" s="2" t="n">
        <v>40932.55585648148</v>
      </c>
      <c r="D3592" t="inlineStr">
        <is>
          <t>A CRITICA</t>
        </is>
      </c>
      <c r="E3592" t="inlineStr">
        <is>
          <t>HAITIANOS</t>
        </is>
      </c>
      <c r="F3592" t="inlineStr">
        <is>
          <t>MANAUS</t>
        </is>
      </c>
      <c r="G3592" t="inlineStr">
        <is>
          <t>FELIPE LIBÓRIO</t>
        </is>
      </c>
      <c r="H3592" t="inlineStr">
        <is>
          <t>OBSTÁCULO DO IDIOMA É MAIS UM DESAFIO PARA OS HAITIANOS QUE BUSCAM EMPREGO EM MANAUS</t>
        </is>
      </c>
      <c r="I3592" t="inlineStr">
        <is>
          <t>FATO DE NÃO DOMINAREM O PORTUGUÊS ACABA DIFICULTANDO O PROCESSO DE COLOCAÇÃO PROFISSIONAL DE HAITIANOS QUE ESTÃO EM MANAUS</t>
        </is>
      </c>
      <c r="J3592">
        <f>HYPERLINK("https://www.acritica.com/manaus/obstaculo-do-idioma-e-mais-um-desafio-para-os-haitianos-que-buscam-emprego-em-manaus-1.169079", "URL")</f>
        <v/>
      </c>
      <c r="K3592">
        <f>HYPERLINK("https://raw.githubusercontent.com/marcosmapl/dataset_imigrantes/main/noticias_filtered/a_critica/haitianos/2012/00_jan/html/1.169079_136.html", "HTML")</f>
        <v/>
      </c>
      <c r="L3592">
        <f>HYPERLINK("https://raw.githubusercontent.com/marcosmapl/dataset_imigrantes/main/noticias_filtered/a_critica/haitianos/2012/00_jan/txt/1.169079_136.txt", "TXT")</f>
        <v/>
      </c>
    </row>
    <row r="3593">
      <c r="A3593" s="1" t="n">
        <v>3591</v>
      </c>
      <c r="B3593" t="n">
        <v>2012</v>
      </c>
      <c r="C3593" s="2" t="n">
        <v>40932.48958333334</v>
      </c>
      <c r="D3593" t="inlineStr">
        <is>
          <t>G1</t>
        </is>
      </c>
      <c r="E3593" t="inlineStr">
        <is>
          <t>HAITIANOS</t>
        </is>
      </c>
      <c r="F3593" t="inlineStr"/>
      <c r="G3593" t="inlineStr">
        <is>
          <t>1 AM</t>
        </is>
      </c>
      <c r="H3593" t="inlineStr">
        <is>
          <t>HAITIANA MORRE VÍTIMA DE DENGUE, EM TABATINGA (AM)</t>
        </is>
      </c>
      <c r="I3593" t="inlineStr"/>
      <c r="J3593">
        <f>HYPERLINK("http://g1.globo.com/am/amazonas/noticia/2012/01/haitiana-morre-vitima-de-dengue-em-tabatinga-am.html", "URL")</f>
        <v/>
      </c>
      <c r="K3593">
        <f>HYPERLINK("https://raw.githubusercontent.com/marcosmapl/dataset_imigrantes/main/noticias_filtered/g1/haitianos/2012/00_jan/html/g1_3d29919c-2309-11ed-b24f-6dbe51e79fca_2435.html", "HTML")</f>
        <v/>
      </c>
      <c r="L3593">
        <f>HYPERLINK("https://raw.githubusercontent.com/marcosmapl/dataset_imigrantes/main/noticias_filtered/g1/haitianos/2012/00_jan/txt/g1_3d29919c-2309-11ed-b24f-6dbe51e79fca_2435.txt", "TXT")</f>
        <v/>
      </c>
    </row>
    <row r="3594">
      <c r="A3594" s="1" t="n">
        <v>3592</v>
      </c>
      <c r="B3594" t="n">
        <v>2012</v>
      </c>
      <c r="C3594" s="2" t="n">
        <v>40931.84162037037</v>
      </c>
      <c r="D3594" t="inlineStr">
        <is>
          <t>A CRITICA</t>
        </is>
      </c>
      <c r="E3594" t="inlineStr">
        <is>
          <t>VENEZUELANOS</t>
        </is>
      </c>
      <c r="F3594" t="inlineStr">
        <is>
          <t>MANAUS</t>
        </is>
      </c>
      <c r="G3594" t="inlineStr">
        <is>
          <t>MARIANA LIMA</t>
        </is>
      </c>
      <c r="H3594" t="inlineStr">
        <is>
          <t>QUADRILHA QUE ASSALTOU TURISTAS BRASILEIROS PODE TER ENVOLVIMENTO COM A POLÍCIA VENEZUELANA</t>
        </is>
      </c>
      <c r="I3594" t="inlineStr">
        <is>
          <t>VÍTIMAS RELATAM QUE CORPO DE INVESTIGAÇÕES CIENTÍFICAS PENAIS E CRIMINALÍSTICAS (CICPC) TRABALHA COM A HIPÓTESE DE UM POSSÍVEL ENVOLVIMENTO DE POLICIAIS VENEZUELANOS NO CASO. ATÉ ESTA SEGUNDA-FEIRA (23), A POLÍCIA VENEZUELANA NÃO ENTROU EM CONTATO COM AS VÍTIMAS PARA DAR MAIS INFORMAÇÕES SOBRE O CASO</t>
        </is>
      </c>
      <c r="J3594">
        <f>HYPERLINK("https://www.acritica.com/manaus/quadrilha-que-assaltou-turistas-brasileiros-pode-ter-envolvimento-com-a-policia-venezuelana-1.169125", "URL")</f>
        <v/>
      </c>
      <c r="K3594">
        <f>HYPERLINK("https://raw.githubusercontent.com/marcosmapl/dataset_imigrantes/main/noticias_filtered/a_critica/venezuelanos/2012/00_jan/html/1.169125_1162.html", "HTML")</f>
        <v/>
      </c>
      <c r="L3594">
        <f>HYPERLINK("https://raw.githubusercontent.com/marcosmapl/dataset_imigrantes/main/noticias_filtered/a_critica/venezuelanos/2012/00_jan/txt/1.169125_1162.txt", "TXT")</f>
        <v/>
      </c>
    </row>
    <row r="3595">
      <c r="A3595" s="1" t="n">
        <v>3593</v>
      </c>
      <c r="B3595" t="n">
        <v>2012</v>
      </c>
      <c r="C3595" s="2" t="n">
        <v>40931.70269675926</v>
      </c>
      <c r="D3595" t="inlineStr">
        <is>
          <t>A CRITICA</t>
        </is>
      </c>
      <c r="E3595" t="inlineStr">
        <is>
          <t>HAITIANOS</t>
        </is>
      </c>
      <c r="F3595" t="inlineStr"/>
      <c r="G3595" t="inlineStr">
        <is>
          <t>LEANDRO PRAZERES</t>
        </is>
      </c>
      <c r="H3595" t="inlineStr">
        <is>
          <t>POPULAÇÃO DE TABATINGA COMEÇA A DAR SINAIS DE ESGOTAMENTO NA RELAÇÃO COM OS HAITIANOS</t>
        </is>
      </c>
      <c r="I3595" t="inlineStr">
        <is>
          <t>MAIS DE UM ANO DEPOIS DO INÍCIO DA IMIGRAÇÃO HAITIANA, A CAPACIDADE DE TABATINGA DE LIDAR COM O TEMA DÁ SINAIS DE ESGOTAMENTO</t>
        </is>
      </c>
      <c r="J3595">
        <f>HYPERLINK("https://www.acritica.com/populac-o-de-tabatinga-comeca-a-dar-sinais-de-esgotamento-na-relac-o-com-os-haitianos-1.170489", "URL")</f>
        <v/>
      </c>
      <c r="K3595">
        <f>HYPERLINK("https://raw.githubusercontent.com/marcosmapl/dataset_imigrantes/main/noticias_filtered/a_critica/haitianos/2012/00_jan/html/1.170489_304.html", "HTML")</f>
        <v/>
      </c>
      <c r="L3595">
        <f>HYPERLINK("https://raw.githubusercontent.com/marcosmapl/dataset_imigrantes/main/noticias_filtered/a_critica/haitianos/2012/00_jan/txt/1.170489_304.txt", "TXT")</f>
        <v/>
      </c>
    </row>
    <row r="3596">
      <c r="A3596" s="1" t="n">
        <v>3594</v>
      </c>
      <c r="B3596" t="n">
        <v>2012</v>
      </c>
      <c r="C3596" s="2" t="n">
        <v>40931.44164351852</v>
      </c>
      <c r="D3596" t="inlineStr">
        <is>
          <t>A CRITICA</t>
        </is>
      </c>
      <c r="E3596" t="inlineStr">
        <is>
          <t>VENEZUELANOS</t>
        </is>
      </c>
      <c r="F3596" t="inlineStr"/>
      <c r="G3596" t="inlineStr">
        <is>
          <t>ACRITICA.COM E AGÊNCIAS</t>
        </is>
      </c>
      <c r="H3596" t="inlineStr">
        <is>
          <t>TURISTAS BRASILEIROS SÃO ASSALTADOS EM ILHA DA VENEZUELA</t>
        </is>
      </c>
      <c r="I3596" t="inlineStr">
        <is>
          <t>GRUPO ESTAVA EM UMA POUSADA QUANDO O BANDO DE MAIS DE 10 PESSOAS CHEGOU AO LOCAL E RENDEU OS TURISTAS LEVANDO DINHEIRO E OBJETOS DE VALOR</t>
        </is>
      </c>
      <c r="J3596">
        <f>HYPERLINK("https://www.acritica.com/turistas-brasileiros-s-o-assaltados-em-ilha-da-venezuela-1.168733", "URL")</f>
        <v/>
      </c>
      <c r="K3596">
        <f>HYPERLINK("https://raw.githubusercontent.com/marcosmapl/dataset_imigrantes/main/noticias_filtered/a_critica/venezuelanos/2012/00_jan/html/1.168733_380.html", "HTML")</f>
        <v/>
      </c>
      <c r="L3596">
        <f>HYPERLINK("https://raw.githubusercontent.com/marcosmapl/dataset_imigrantes/main/noticias_filtered/a_critica/venezuelanos/2012/00_jan/txt/1.168733_380.txt", "TXT")</f>
        <v/>
      </c>
    </row>
    <row r="3597">
      <c r="A3597" s="1" t="n">
        <v>3595</v>
      </c>
      <c r="B3597" t="n">
        <v>2012</v>
      </c>
      <c r="C3597" s="2" t="n">
        <v>40930.99837962963</v>
      </c>
      <c r="D3597" t="inlineStr">
        <is>
          <t>A CRITICA</t>
        </is>
      </c>
      <c r="E3597" t="inlineStr">
        <is>
          <t>HAITIANOS</t>
        </is>
      </c>
      <c r="F3597" t="inlineStr"/>
      <c r="G3597" t="inlineStr">
        <is>
          <t>LEANDRO PRAZERES</t>
        </is>
      </c>
      <c r="H3597" t="inlineStr">
        <is>
          <t>SÉRIE DE REPORTAGENS MOSTRA A BUSCA DOS HAITIANOS POR UMA NOVA VIDA NO BRASIL</t>
        </is>
      </c>
      <c r="I3597" t="inlineStr">
        <is>
          <t>DE ACORDO COM ESTIMATIVAS EXTRA-OFICIAIS, APROXIMADAMENTE 2,7 MIL HAITIANOS JÁ FIZERAM ESSA VIAGEM DESDE O FINAL DE 2010</t>
        </is>
      </c>
      <c r="J3597">
        <f>HYPERLINK("https://www.acritica.com/serie-de-reportagens-mostra-a-busca-dos-haitianos-por-uma-nova-vida-no-brasil-1.170511", "URL")</f>
        <v/>
      </c>
      <c r="K3597">
        <f>HYPERLINK("https://raw.githubusercontent.com/marcosmapl/dataset_imigrantes/main/noticias_filtered/a_critica/haitianos/2012/00_jan/html/1.170511_1108.html", "HTML")</f>
        <v/>
      </c>
      <c r="L3597">
        <f>HYPERLINK("https://raw.githubusercontent.com/marcosmapl/dataset_imigrantes/main/noticias_filtered/a_critica/haitianos/2012/00_jan/txt/1.170511_1108.txt", "TXT")</f>
        <v/>
      </c>
    </row>
    <row r="3598">
      <c r="A3598" s="1" t="n">
        <v>3596</v>
      </c>
      <c r="B3598" t="n">
        <v>2012</v>
      </c>
      <c r="C3598" s="2" t="n">
        <v>40929.48364583333</v>
      </c>
      <c r="D3598" t="inlineStr">
        <is>
          <t>A CRITICA</t>
        </is>
      </c>
      <c r="E3598" t="inlineStr">
        <is>
          <t>HAITIANOS</t>
        </is>
      </c>
      <c r="F3598" t="inlineStr"/>
      <c r="G3598" t="inlineStr">
        <is>
          <t>FELIPE LIBÓRIO</t>
        </is>
      </c>
      <c r="H3598" t="inlineStr">
        <is>
          <t>GRUPO DE HAITIANOS QUE CHEGOU NESTA SEXTA-FEIRA EM MANAUS NÃO TEM PARA ONDE IR</t>
        </is>
      </c>
      <c r="I3598" t="inlineStr">
        <is>
          <t>O PADRE GELMINO COSTA ESTÁ PREOCUPADO COM A VINDA DE NOVOS IMIGRANTES EM POUCO TEMPO E HÁ RISCO DELES SEREM OBRIGADOS A DORMIR NAS RUAS</t>
        </is>
      </c>
      <c r="J3598">
        <f>HYPERLINK("https://www.acritica.com/grupo-de-haitianos-que-chegou-nesta-sexta-feira-em-manaus-n-o-tem-para-onde-ir-1.104322", "URL")</f>
        <v/>
      </c>
      <c r="K3598">
        <f>HYPERLINK("https://raw.githubusercontent.com/marcosmapl/dataset_imigrantes/main/noticias_filtered/a_critica/haitianos/2012/00_jan/html/1.104322_337.html", "HTML")</f>
        <v/>
      </c>
      <c r="L3598">
        <f>HYPERLINK("https://raw.githubusercontent.com/marcosmapl/dataset_imigrantes/main/noticias_filtered/a_critica/haitianos/2012/00_jan/txt/1.104322_337.txt", "TXT")</f>
        <v/>
      </c>
    </row>
    <row r="3599">
      <c r="A3599" s="1" t="n">
        <v>3597</v>
      </c>
      <c r="B3599" t="n">
        <v>2012</v>
      </c>
      <c r="C3599" s="2" t="n">
        <v>40927.98125</v>
      </c>
      <c r="D3599" t="inlineStr">
        <is>
          <t>G1</t>
        </is>
      </c>
      <c r="E3599" t="inlineStr">
        <is>
          <t>HAITIANOS</t>
        </is>
      </c>
      <c r="F3599" t="inlineStr"/>
      <c r="G3599" t="inlineStr">
        <is>
          <t>CIA EFE</t>
        </is>
      </c>
      <c r="H3599" t="inlineStr">
        <is>
          <t>HAITI: SOBE PARA 40 O NÚMERO DE MORTOS EM ACIDENTE COM CAMINHÃO</t>
        </is>
      </c>
      <c r="I3599" t="inlineStr"/>
      <c r="J3599">
        <f>HYPERLINK("http://g1.globo.com/mundo/noticia/2012/01/haiti-sobe-para-40-o-numero-de-mortos-em-acidente-com-caminhao.html", "URL")</f>
        <v/>
      </c>
      <c r="K3599">
        <f>HYPERLINK("https://raw.githubusercontent.com/marcosmapl/dataset_imigrantes/main/noticias_filtered/g1/haitianos/2012/00_jan/html/g1_21a2094c-2320-11ed-b24f-6dbe51e79fca_3665.html", "HTML")</f>
        <v/>
      </c>
      <c r="L3599">
        <f>HYPERLINK("https://raw.githubusercontent.com/marcosmapl/dataset_imigrantes/main/noticias_filtered/g1/haitianos/2012/00_jan/txt/g1_21a2094c-2320-11ed-b24f-6dbe51e79fca_3665.txt", "TXT")</f>
        <v/>
      </c>
    </row>
    <row r="3600">
      <c r="A3600" s="1" t="n">
        <v>3598</v>
      </c>
      <c r="B3600" t="n">
        <v>2012</v>
      </c>
      <c r="C3600" s="2" t="n">
        <v>40927.91527777778</v>
      </c>
      <c r="D3600" t="inlineStr">
        <is>
          <t>G1</t>
        </is>
      </c>
      <c r="E3600" t="inlineStr">
        <is>
          <t>HAITIANOS</t>
        </is>
      </c>
      <c r="F3600" t="inlineStr"/>
      <c r="G3600" t="inlineStr"/>
      <c r="H3600" t="inlineStr">
        <is>
          <t>DEZENAS DE IMIGRANTES HAITIANOS SÃO BARRADOS NA FRONTEIRA COM O PERU</t>
        </is>
      </c>
      <c r="I3600" t="inlineStr"/>
      <c r="J3600">
        <f>HYPERLINK("http://g1.globo.com/jornal-nacional/noticia/2012/01/dezenas-de-imigrantes-haitianos-sao-barrados-na-fronteira-com-o-peru.html", "URL")</f>
        <v/>
      </c>
      <c r="K3600">
        <f>HYPERLINK("https://raw.githubusercontent.com/marcosmapl/dataset_imigrantes/main/noticias_filtered/g1/haitianos/2012/00_jan/html/g1_64a67698-22f7-11ed-b24f-6dbe51e79fca_2076.html", "HTML")</f>
        <v/>
      </c>
      <c r="L3600">
        <f>HYPERLINK("https://raw.githubusercontent.com/marcosmapl/dataset_imigrantes/main/noticias_filtered/g1/haitianos/2012/00_jan/txt/g1_64a67698-22f7-11ed-b24f-6dbe51e79fca_2076.txt", "TXT")</f>
        <v/>
      </c>
    </row>
    <row r="3601">
      <c r="A3601" s="1" t="n">
        <v>3599</v>
      </c>
      <c r="B3601" t="n">
        <v>2012</v>
      </c>
      <c r="C3601" s="2" t="n">
        <v>40926.90347222222</v>
      </c>
      <c r="D3601" t="inlineStr">
        <is>
          <t>G1</t>
        </is>
      </c>
      <c r="E3601" t="inlineStr">
        <is>
          <t>HAITIANOS</t>
        </is>
      </c>
      <c r="F3601" t="inlineStr"/>
      <c r="G3601" t="inlineStr"/>
      <c r="H3601" t="inlineStr">
        <is>
          <t>POLÍCIA FEDERAL IMPEDE ENTRADA DE 100 HAITIANOS PELO ACRE</t>
        </is>
      </c>
      <c r="I3601" t="inlineStr"/>
      <c r="J3601">
        <f>HYPERLINK("http://g1.globo.com/jornal-nacional/noticia/2012/01/policia-federal-impede-entrada-de-100-haitianos-pelo-acre.html", "URL")</f>
        <v/>
      </c>
      <c r="K3601">
        <f>HYPERLINK("https://raw.githubusercontent.com/marcosmapl/dataset_imigrantes/main/noticias_filtered/g1/haitianos/2012/00_jan/html/g1_cc05af1a-22f8-11ed-b24f-6dbe51e79fca_2158.html", "HTML")</f>
        <v/>
      </c>
      <c r="L3601">
        <f>HYPERLINK("https://raw.githubusercontent.com/marcosmapl/dataset_imigrantes/main/noticias_filtered/g1/haitianos/2012/00_jan/txt/g1_cc05af1a-22f8-11ed-b24f-6dbe51e79fca_2158.txt", "TXT")</f>
        <v/>
      </c>
    </row>
    <row r="3602">
      <c r="A3602" s="1" t="n">
        <v>3600</v>
      </c>
      <c r="B3602" t="n">
        <v>2012</v>
      </c>
      <c r="C3602" s="2" t="n">
        <v>40925.74862268518</v>
      </c>
      <c r="D3602" t="inlineStr">
        <is>
          <t>A CRITICA</t>
        </is>
      </c>
      <c r="E3602" t="inlineStr">
        <is>
          <t>VENEZUELANOS</t>
        </is>
      </c>
      <c r="F3602" t="inlineStr">
        <is>
          <t>ESPORTES</t>
        </is>
      </c>
      <c r="G3602" t="inlineStr">
        <is>
          <t>LANCEPRESS!</t>
        </is>
      </c>
      <c r="H3602" t="inlineStr">
        <is>
          <t>BRUNO SENNA É CONFIRMADO NA WILLIAMS PARA A TEMPORADA 2012</t>
        </is>
      </c>
      <c r="I3602" t="inlineStr">
        <is>
          <t>BRASILEIRO COMPETIRÁ PELA SUA TERCEIRA ESCUDERIA DIFERENTE EM TRÊS TEMPORADAS, ENQUANTO RUBENS BARRICHELLO FICA SEM VAGA E AINDA NÃO DABE SE TERÁ EQUIPE</t>
        </is>
      </c>
      <c r="J3602">
        <f>HYPERLINK("https://www.acritica.com/esportes/bruno-senna-e-confirmado-na-williams-para-a-temporada-2012-1.168102", "URL")</f>
        <v/>
      </c>
      <c r="K3602">
        <f>HYPERLINK("https://raw.githubusercontent.com/marcosmapl/dataset_imigrantes/main/noticias_filtered/a_critica/venezuelanos/2012/00_jan/html/1.168102_159.html", "HTML")</f>
        <v/>
      </c>
      <c r="L3602">
        <f>HYPERLINK("https://raw.githubusercontent.com/marcosmapl/dataset_imigrantes/main/noticias_filtered/a_critica/venezuelanos/2012/00_jan/txt/1.168102_159.txt", "TXT")</f>
        <v/>
      </c>
    </row>
    <row r="3603">
      <c r="A3603" s="1" t="n">
        <v>3601</v>
      </c>
      <c r="B3603" t="n">
        <v>2012</v>
      </c>
      <c r="C3603" s="2" t="n">
        <v>40925.49128472222</v>
      </c>
      <c r="D3603" t="inlineStr">
        <is>
          <t>A CRITICA</t>
        </is>
      </c>
      <c r="E3603" t="inlineStr">
        <is>
          <t>HAITIANOS</t>
        </is>
      </c>
      <c r="F3603" t="inlineStr"/>
      <c r="G3603" t="inlineStr">
        <is>
          <t>FELIPE LIBÓRIO</t>
        </is>
      </c>
      <c r="H3603" t="inlineStr">
        <is>
          <t>GOVERNO FEDERAL DEVE ENTREGAR PROPOSTA DE RESOLUÇÃO PARA RESTRINGIR A ENTRADA DE IMIGRANTES HAITIANOS NO BRASIL</t>
        </is>
      </c>
      <c r="I3603" t="inlineStr">
        <is>
          <t>PASTORAL DO MIGRANTE DE TABATINGA OFICIALIZA PEDIDO AO GOVERNO FEDERAL PARA QUE SEJAM ESTABELECIDAS REGRAS PARA LEGALIZAR MIGRAÇÃO</t>
        </is>
      </c>
      <c r="J3603">
        <f>HYPERLINK("https://www.acritica.com/governo-federal-deve-entregar-proposta-de-resoluc-o-para-restringir-a-entrada-de-imigrantes-haitianos-no-brasil-1.107167", "URL")</f>
        <v/>
      </c>
      <c r="K3603">
        <f>HYPERLINK("https://raw.githubusercontent.com/marcosmapl/dataset_imigrantes/main/noticias_filtered/a_critica/haitianos/2012/00_jan/html/1.107167_943.html", "HTML")</f>
        <v/>
      </c>
      <c r="L3603">
        <f>HYPERLINK("https://raw.githubusercontent.com/marcosmapl/dataset_imigrantes/main/noticias_filtered/a_critica/haitianos/2012/00_jan/txt/1.107167_943.txt", "TXT")</f>
        <v/>
      </c>
    </row>
    <row r="3604">
      <c r="A3604" s="1" t="n">
        <v>3602</v>
      </c>
      <c r="B3604" t="n">
        <v>2012</v>
      </c>
      <c r="C3604" s="2" t="n">
        <v>40925.45171296296</v>
      </c>
      <c r="D3604" t="inlineStr">
        <is>
          <t>A CRITICA</t>
        </is>
      </c>
      <c r="E3604" t="inlineStr">
        <is>
          <t>HAITIANOS</t>
        </is>
      </c>
      <c r="F3604" t="inlineStr">
        <is>
          <t>ESPORTES</t>
        </is>
      </c>
      <c r="G3604" t="inlineStr">
        <is>
          <t>LEANDRO PRAZERES</t>
        </is>
      </c>
      <c r="H3604" t="inlineStr">
        <is>
          <t>RESOLUÇÃO DO MINISTÉRIO DA JUSTIÇA FECHA FRONTEIRAS BRASILEIRAS PARA HAITIANOS</t>
        </is>
      </c>
      <c r="I3604" t="inlineStr">
        <is>
          <t>RESOLUÇÃO COMUNICADA À POLÍCIA FEDERAL É DE QUE IMIGRANTES QUE CHEGARAM APÓS O DIA 12 DE JANEIRO SERÃO CONSIDERADOS ILEGAIS</t>
        </is>
      </c>
      <c r="J3604">
        <f>HYPERLINK("https://www.acritica.com/esportes/resoluc-o-do-ministerio-da-justica-fecha-fronteiras-brasileiras-para-haitianos-1.104447", "URL")</f>
        <v/>
      </c>
      <c r="K3604">
        <f>HYPERLINK("https://raw.githubusercontent.com/marcosmapl/dataset_imigrantes/main/noticias_filtered/a_critica/haitianos/2012/00_jan/html/1.104447_1106.html", "HTML")</f>
        <v/>
      </c>
      <c r="L3604">
        <f>HYPERLINK("https://raw.githubusercontent.com/marcosmapl/dataset_imigrantes/main/noticias_filtered/a_critica/haitianos/2012/00_jan/txt/1.104447_1106.txt", "TXT")</f>
        <v/>
      </c>
    </row>
    <row r="3605">
      <c r="A3605" s="1" t="n">
        <v>3603</v>
      </c>
      <c r="B3605" t="n">
        <v>2012</v>
      </c>
      <c r="C3605" s="2" t="n">
        <v>40924.44636574074</v>
      </c>
      <c r="D3605" t="inlineStr">
        <is>
          <t>A CRITICA</t>
        </is>
      </c>
      <c r="E3605" t="inlineStr">
        <is>
          <t>HAITIANOS</t>
        </is>
      </c>
      <c r="F3605" t="inlineStr"/>
      <c r="G3605" t="inlineStr">
        <is>
          <t>FELIPE LIBÓRIO</t>
        </is>
      </c>
      <c r="H3605" t="inlineStr">
        <is>
          <t>PARÓQUIA DE SÃO SEBASTIÃO EM MANAUS JÁ ESTÁ COM PROGRAMAÇÃO FECHADA PARA FESTEJAR SANTO</t>
        </is>
      </c>
      <c r="I3605" t="inlineStr">
        <is>
          <t>A PROGRAMAÇÃO INCLUI PROCISSÃO, MISSA CAMPAL E ARRAIAL. A PARÓQUIA CONGREGA CERCA DE 7 MIL PESSOAS DE VÁRIOS BAIRROS DE MANAUS</t>
        </is>
      </c>
      <c r="J3605">
        <f>HYPERLINK("https://www.acritica.com/paroquia-de-s-o-sebasti-o-em-manaus-ja-esta-com-programac-o-fechada-para-festejar-santo-1.104542", "URL")</f>
        <v/>
      </c>
      <c r="K3605">
        <f>HYPERLINK("https://raw.githubusercontent.com/marcosmapl/dataset_imigrantes/main/noticias_filtered/a_critica/haitianos/2012/00_jan/html/1.104542_29.html", "HTML")</f>
        <v/>
      </c>
      <c r="L3605">
        <f>HYPERLINK("https://raw.githubusercontent.com/marcosmapl/dataset_imigrantes/main/noticias_filtered/a_critica/haitianos/2012/00_jan/txt/1.104542_29.txt", "TXT")</f>
        <v/>
      </c>
    </row>
    <row r="3606">
      <c r="A3606" s="1" t="n">
        <v>3604</v>
      </c>
      <c r="B3606" t="n">
        <v>2012</v>
      </c>
      <c r="C3606" s="2" t="n">
        <v>40921.91875</v>
      </c>
      <c r="D3606" t="inlineStr">
        <is>
          <t>G1</t>
        </is>
      </c>
      <c r="E3606" t="inlineStr">
        <is>
          <t>HAITIANOS</t>
        </is>
      </c>
      <c r="F3606" t="inlineStr"/>
      <c r="G3606" t="inlineStr"/>
      <c r="H3606" t="inlineStr">
        <is>
          <t>HAITIANOS DIZEM QUE PREFEREM VIVER NO BRASIL, MESMO COM DIFICULDADES</t>
        </is>
      </c>
      <c r="I3606" t="inlineStr"/>
      <c r="J3606">
        <f>HYPERLINK("http://g1.globo.com/jornal-nacional/noticia/2012/01/haitianos-dizem-que-preferem-viver-no-brasil-mesmo-com-dificuldades.html", "URL")</f>
        <v/>
      </c>
      <c r="K3606">
        <f>HYPERLINK("https://raw.githubusercontent.com/marcosmapl/dataset_imigrantes/main/noticias_filtered/g1/haitianos/2012/00_jan/html/g1_e7eab398-22f7-11ed-b24f-6dbe51e79fca_2103.html", "HTML")</f>
        <v/>
      </c>
      <c r="L3606">
        <f>HYPERLINK("https://raw.githubusercontent.com/marcosmapl/dataset_imigrantes/main/noticias_filtered/g1/haitianos/2012/00_jan/txt/g1_e7eab398-22f7-11ed-b24f-6dbe51e79fca_2103.txt", "TXT")</f>
        <v/>
      </c>
    </row>
    <row r="3607">
      <c r="A3607" s="1" t="n">
        <v>3605</v>
      </c>
      <c r="B3607" t="n">
        <v>2012</v>
      </c>
      <c r="C3607" s="2" t="n">
        <v>40921.68958333333</v>
      </c>
      <c r="D3607" t="inlineStr">
        <is>
          <t>G1</t>
        </is>
      </c>
      <c r="E3607" t="inlineStr">
        <is>
          <t>HAITIANOS</t>
        </is>
      </c>
      <c r="F3607" t="inlineStr"/>
      <c r="G3607" t="inlineStr">
        <is>
          <t>ERS</t>
        </is>
      </c>
      <c r="H3607" t="inlineStr">
        <is>
          <t>AMORIM PEDE NOVA POLÍTICA A IMIGRANTES APÓS ENTRADA DE HAITIANOS</t>
        </is>
      </c>
      <c r="I3607" t="inlineStr"/>
      <c r="J3607">
        <f>HYPERLINK("http://g1.globo.com/mundo/noticia/2012/01/amorim-pede-nova-politica-a-imigrantes-apos-entrada-de-haitianos-1.html", "URL")</f>
        <v/>
      </c>
      <c r="K3607">
        <f>HYPERLINK("https://raw.githubusercontent.com/marcosmapl/dataset_imigrantes/main/noticias_filtered/g1/haitianos/2012/00_jan/html/g1_b2263584-22f7-11ed-b24f-6dbe51e79fca_2091.html", "HTML")</f>
        <v/>
      </c>
      <c r="L3607">
        <f>HYPERLINK("https://raw.githubusercontent.com/marcosmapl/dataset_imigrantes/main/noticias_filtered/g1/haitianos/2012/00_jan/txt/g1_b2263584-22f7-11ed-b24f-6dbe51e79fca_2091.txt", "TXT")</f>
        <v/>
      </c>
    </row>
    <row r="3608">
      <c r="A3608" s="1" t="n">
        <v>3606</v>
      </c>
      <c r="B3608" t="n">
        <v>2012</v>
      </c>
      <c r="C3608" s="2" t="n">
        <v>40921.68958333333</v>
      </c>
      <c r="D3608" t="inlineStr">
        <is>
          <t>G1</t>
        </is>
      </c>
      <c r="E3608" t="inlineStr">
        <is>
          <t>HAITIANOS</t>
        </is>
      </c>
      <c r="F3608" t="inlineStr"/>
      <c r="G3608" t="inlineStr">
        <is>
          <t>ERS</t>
        </is>
      </c>
      <c r="H3608" t="inlineStr">
        <is>
          <t>AMORIM PEDE NOVA POLÍTICA A IMIGRANTES APÓS ENTRADA DE HAITIANOS</t>
        </is>
      </c>
      <c r="I3608" t="inlineStr"/>
      <c r="J3608">
        <f>HYPERLINK("http://g1.globo.com/politica/noticia/2012/01/amorim-pede-nova-politica-a-imigrantes-apos-entrada-de-haitianos.html", "URL")</f>
        <v/>
      </c>
      <c r="K3608">
        <f>HYPERLINK("https://raw.githubusercontent.com/marcosmapl/dataset_imigrantes/main/noticias_filtered/g1/haitianos/2012/00_jan/html/g1_12cdf760-22f7-11ed-b24f-6dbe51e79fca_2057.html", "HTML")</f>
        <v/>
      </c>
      <c r="L3608">
        <f>HYPERLINK("https://raw.githubusercontent.com/marcosmapl/dataset_imigrantes/main/noticias_filtered/g1/haitianos/2012/00_jan/txt/g1_12cdf760-22f7-11ed-b24f-6dbe51e79fca_2057.txt", "TXT")</f>
        <v/>
      </c>
    </row>
    <row r="3609">
      <c r="A3609" s="1" t="n">
        <v>3607</v>
      </c>
      <c r="B3609" t="n">
        <v>2012</v>
      </c>
      <c r="C3609" s="2" t="n">
        <v>40920.81180555555</v>
      </c>
      <c r="D3609" t="inlineStr">
        <is>
          <t>G1</t>
        </is>
      </c>
      <c r="E3609" t="inlineStr">
        <is>
          <t>HAITIANOS</t>
        </is>
      </c>
      <c r="F3609" t="inlineStr"/>
      <c r="G3609" t="inlineStr">
        <is>
          <t>A GUIMARÃESDO G1, EM SÃO PAULO</t>
        </is>
      </c>
      <c r="H3609" t="inlineStr">
        <is>
          <t>EMPRESAS BRASILEIRAS VÃO AO ACRE CONTRATAR IMIGRANTES HAITIANOS</t>
        </is>
      </c>
      <c r="I3609" t="inlineStr"/>
      <c r="J3609">
        <f>HYPERLINK("http://g1.globo.com/economia/noticia/2012/01/com-falta-de-mao-de-obra-empresas-brasileiras-contratam-haitianos-no-ac.html", "URL")</f>
        <v/>
      </c>
      <c r="K3609">
        <f>HYPERLINK("https://raw.githubusercontent.com/marcosmapl/dataset_imigrantes/main/noticias_filtered/g1/haitianos/2012/00_jan/html/g1_f72e2f1a-22f7-11ed-b24f-6dbe51e79fca_2108.html", "HTML")</f>
        <v/>
      </c>
      <c r="L3609">
        <f>HYPERLINK("https://raw.githubusercontent.com/marcosmapl/dataset_imigrantes/main/noticias_filtered/g1/haitianos/2012/00_jan/txt/g1_f72e2f1a-22f7-11ed-b24f-6dbe51e79fca_2108.txt", "TXT")</f>
        <v/>
      </c>
    </row>
    <row r="3610">
      <c r="A3610" s="1" t="n">
        <v>3608</v>
      </c>
      <c r="B3610" t="n">
        <v>2012</v>
      </c>
      <c r="C3610" s="2" t="n">
        <v>40920.76666666667</v>
      </c>
      <c r="D3610" t="inlineStr">
        <is>
          <t>G1</t>
        </is>
      </c>
      <c r="E3610" t="inlineStr">
        <is>
          <t>HAITIANOS</t>
        </is>
      </c>
      <c r="F3610" t="inlineStr"/>
      <c r="G3610" t="inlineStr"/>
      <c r="H3610" t="inlineStr">
        <is>
          <t>CONSELHO DE IMIGRAÇÃO APROVA RESTRIÇÃO À ENTRADA DE HAITIANOS</t>
        </is>
      </c>
      <c r="I3610" t="inlineStr"/>
      <c r="J3610">
        <f>HYPERLINK("http://g1.globo.com/brasil/noticia/2012/01/conselho-de-imigracao-aprova-restricao-a-entrada-de-haitianos.html", "URL")</f>
        <v/>
      </c>
      <c r="K3610">
        <f>HYPERLINK("https://raw.githubusercontent.com/marcosmapl/dataset_imigrantes/main/noticias_filtered/g1/haitianos/2012/00_jan/html/g1_397b8370-22fa-11ed-b24f-6dbe51e79fca_2206.html", "HTML")</f>
        <v/>
      </c>
      <c r="L3610">
        <f>HYPERLINK("https://raw.githubusercontent.com/marcosmapl/dataset_imigrantes/main/noticias_filtered/g1/haitianos/2012/00_jan/txt/g1_397b8370-22fa-11ed-b24f-6dbe51e79fca_2206.txt", "TXT")</f>
        <v/>
      </c>
    </row>
    <row r="3611">
      <c r="A3611" s="1" t="n">
        <v>3609</v>
      </c>
      <c r="B3611" t="n">
        <v>2012</v>
      </c>
      <c r="C3611" s="2" t="n">
        <v>40920.6103125</v>
      </c>
      <c r="D3611" t="inlineStr">
        <is>
          <t>A CRITICA</t>
        </is>
      </c>
      <c r="E3611" t="inlineStr">
        <is>
          <t>HAITIANOS</t>
        </is>
      </c>
      <c r="F3611" t="inlineStr">
        <is>
          <t>ESPORTES</t>
        </is>
      </c>
      <c r="G3611" t="inlineStr">
        <is>
          <t>FELIPE LIBÓRIO</t>
        </is>
      </c>
      <c r="H3611" t="inlineStr">
        <is>
          <t>AMAZONAS PEDE AJUDA AO GOVERNO FEDERAL PARA AÇÕES DE ASSISTÊNCIA AOS HAITIANOS</t>
        </is>
      </c>
      <c r="I3611" t="inlineStr">
        <is>
          <t>MINISTÉRIO DO DESENVOLVIMENTO SOCIAL E COMBATE À FOME (MDS) VAI LIBERAR R$ 300 MIL PARA SEREM USADOS EM AÇÕES ASSISTENCIAIS A HAITIANOS.</t>
        </is>
      </c>
      <c r="J3611">
        <f>HYPERLINK("https://www.acritica.com/esportes/amazonas-pede-ajuda-ao-governo-federal-para-ac-es-de-assistencia-aos-haitianos-1.167266", "URL")</f>
        <v/>
      </c>
      <c r="K3611">
        <f>HYPERLINK("https://raw.githubusercontent.com/marcosmapl/dataset_imigrantes/main/noticias_filtered/a_critica/haitianos/2012/00_jan/html/1.167266_1101.html", "HTML")</f>
        <v/>
      </c>
      <c r="L3611">
        <f>HYPERLINK("https://raw.githubusercontent.com/marcosmapl/dataset_imigrantes/main/noticias_filtered/a_critica/haitianos/2012/00_jan/txt/1.167266_1101.txt", "TXT")</f>
        <v/>
      </c>
    </row>
    <row r="3612">
      <c r="A3612" s="1" t="n">
        <v>3610</v>
      </c>
      <c r="B3612" t="n">
        <v>2012</v>
      </c>
      <c r="C3612" s="2" t="n">
        <v>40920.59583333333</v>
      </c>
      <c r="D3612" t="inlineStr">
        <is>
          <t>G1</t>
        </is>
      </c>
      <c r="E3612" t="inlineStr">
        <is>
          <t>HAITIANOS</t>
        </is>
      </c>
      <c r="F3612" t="inlineStr"/>
      <c r="G3612" t="inlineStr">
        <is>
          <t>CE PRESSE</t>
        </is>
      </c>
      <c r="H3612" t="inlineStr">
        <is>
          <t>HAITIANOS NO BRASIL DIVIDIDOS SOBRE AS MEDIDAS IMIGRATÓRIAS</t>
        </is>
      </c>
      <c r="I3612" t="inlineStr"/>
      <c r="J3612">
        <f>HYPERLINK("http://g1.globo.com/mundo/noticia/2012/01/haitianos-no-brasil-divididos-sobre-as-medidas-imigratorias.html", "URL")</f>
        <v/>
      </c>
      <c r="K3612">
        <f>HYPERLINK("https://raw.githubusercontent.com/marcosmapl/dataset_imigrantes/main/noticias_filtered/g1/haitianos/2012/00_jan/html/g1_6d09190c-22f8-11ed-b24f-6dbe51e79fca_2133.html", "HTML")</f>
        <v/>
      </c>
      <c r="L3612">
        <f>HYPERLINK("https://raw.githubusercontent.com/marcosmapl/dataset_imigrantes/main/noticias_filtered/g1/haitianos/2012/00_jan/txt/g1_6d09190c-22f8-11ed-b24f-6dbe51e79fca_2133.txt", "TXT")</f>
        <v/>
      </c>
    </row>
    <row r="3613">
      <c r="A3613" s="1" t="n">
        <v>3611</v>
      </c>
      <c r="B3613" t="n">
        <v>2012</v>
      </c>
      <c r="C3613" s="2" t="n">
        <v>40920.27916666667</v>
      </c>
      <c r="D3613" t="inlineStr">
        <is>
          <t>G1</t>
        </is>
      </c>
      <c r="E3613" t="inlineStr">
        <is>
          <t>HAITIANOS</t>
        </is>
      </c>
      <c r="F3613" t="inlineStr"/>
      <c r="G3613" t="inlineStr"/>
      <c r="H3613" t="inlineStr">
        <is>
          <t>CONTROLE MIGRATÓRIO DE HAITIANOS NO BRASIL GERA DEBATE</t>
        </is>
      </c>
      <c r="I3613" t="inlineStr"/>
      <c r="J3613">
        <f>HYPERLINK("http://g1.globo.com/brasil/noticia/2012/01/controle-migratorio-de-haitianos-no-brasil-gera-debate.html", "URL")</f>
        <v/>
      </c>
      <c r="K3613">
        <f>HYPERLINK("https://raw.githubusercontent.com/marcosmapl/dataset_imigrantes/main/noticias_filtered/g1/haitianos/2012/00_jan/html/g1_d2392956-22f4-11ed-b24f-6dbe51e79fca_1912.html", "HTML")</f>
        <v/>
      </c>
      <c r="L3613">
        <f>HYPERLINK("https://raw.githubusercontent.com/marcosmapl/dataset_imigrantes/main/noticias_filtered/g1/haitianos/2012/00_jan/txt/g1_d2392956-22f4-11ed-b24f-6dbe51e79fca_1912.txt", "TXT")</f>
        <v/>
      </c>
    </row>
    <row r="3614">
      <c r="A3614" s="1" t="n">
        <v>3612</v>
      </c>
      <c r="B3614" t="n">
        <v>2012</v>
      </c>
      <c r="C3614" s="2" t="n">
        <v>40920.27708333333</v>
      </c>
      <c r="D3614" t="inlineStr">
        <is>
          <t>G1</t>
        </is>
      </c>
      <c r="E3614" t="inlineStr">
        <is>
          <t>HAITIANOS</t>
        </is>
      </c>
      <c r="F3614" t="inlineStr"/>
      <c r="G3614" t="inlineStr"/>
      <c r="H3614" t="inlineStr">
        <is>
          <t>HAITIANOS EM SP PENSAM EM VOLTAR A SEU PAÍS SÓ 'DE VISITA'</t>
        </is>
      </c>
      <c r="I3614" t="inlineStr"/>
      <c r="J3614">
        <f>HYPERLINK("http://g1.globo.com/brasil/noticia/2012/01/haitianos-em-sp-pensam-em-voltar-a-seu-pais-so-de-visita.html", "URL")</f>
        <v/>
      </c>
      <c r="K3614">
        <f>HYPERLINK("https://raw.githubusercontent.com/marcosmapl/dataset_imigrantes/main/noticias_filtered/g1/haitianos/2012/00_jan/html/g1_8f33515c-22ec-11ed-b24f-6dbe51e79fca_1661.html", "HTML")</f>
        <v/>
      </c>
      <c r="L3614">
        <f>HYPERLINK("https://raw.githubusercontent.com/marcosmapl/dataset_imigrantes/main/noticias_filtered/g1/haitianos/2012/00_jan/txt/g1_8f33515c-22ec-11ed-b24f-6dbe51e79fca_1661.txt", "TXT")</f>
        <v/>
      </c>
    </row>
    <row r="3615">
      <c r="A3615" s="1" t="n">
        <v>3613</v>
      </c>
      <c r="B3615" t="n">
        <v>2012</v>
      </c>
      <c r="C3615" s="2" t="n">
        <v>40919.75416666667</v>
      </c>
      <c r="D3615" t="inlineStr">
        <is>
          <t>G1</t>
        </is>
      </c>
      <c r="E3615" t="inlineStr">
        <is>
          <t>HAITIANOS</t>
        </is>
      </c>
      <c r="F3615" t="inlineStr"/>
      <c r="G3615" t="inlineStr">
        <is>
          <t>CE PRESSE</t>
        </is>
      </c>
      <c r="H3615" t="inlineStr">
        <is>
          <t>COM ECONOMIA FORTE, BRASIL QUEBRA TRADIÇÃO E FREIA IMIGRAÇÃO HAITIANA</t>
        </is>
      </c>
      <c r="I3615" t="inlineStr"/>
      <c r="J3615">
        <f>HYPERLINK("http://g1.globo.com/mundo/noticia/2012/01/com-economia-forte-brasil-quebra-tradicao-e-freia-imigracao-haitiana.html", "URL")</f>
        <v/>
      </c>
      <c r="K3615">
        <f>HYPERLINK("https://raw.githubusercontent.com/marcosmapl/dataset_imigrantes/main/noticias_filtered/g1/haitianos/2012/00_jan/html/g1_cbc38db0-231b-11ed-b24f-6dbe51e79fca_3408.html", "HTML")</f>
        <v/>
      </c>
      <c r="L3615">
        <f>HYPERLINK("https://raw.githubusercontent.com/marcosmapl/dataset_imigrantes/main/noticias_filtered/g1/haitianos/2012/00_jan/txt/g1_cbc38db0-231b-11ed-b24f-6dbe51e79fca_3408.txt", "TXT")</f>
        <v/>
      </c>
    </row>
    <row r="3616">
      <c r="A3616" s="1" t="n">
        <v>3614</v>
      </c>
      <c r="B3616" t="n">
        <v>2012</v>
      </c>
      <c r="C3616" s="2" t="n">
        <v>40919.36458333334</v>
      </c>
      <c r="D3616" t="inlineStr">
        <is>
          <t>G1</t>
        </is>
      </c>
      <c r="E3616" t="inlineStr">
        <is>
          <t>HAITIANOS</t>
        </is>
      </c>
      <c r="F3616" t="inlineStr"/>
      <c r="G3616" t="inlineStr"/>
      <c r="H3616" t="inlineStr">
        <is>
          <t>BRASIL ENFRENTA DESAFIO HUMANITÁRIO COM ONDA DE REFUGIADOS HAITIANOS</t>
        </is>
      </c>
      <c r="I3616" t="inlineStr"/>
      <c r="J3616">
        <f>HYPERLINK("http://g1.globo.com/globo-news/noticia/2012/01/brasil-enfrenta-desafio-humanitario-com-onda-de-refugiados-haitianos.html", "URL")</f>
        <v/>
      </c>
      <c r="K3616">
        <f>HYPERLINK("https://raw.githubusercontent.com/marcosmapl/dataset_imigrantes/main/noticias_filtered/g1/haitianos/2012/00_jan/html/g1_bc60a336-22f7-11ed-b24f-6dbe51e79fca_2093.html", "HTML")</f>
        <v/>
      </c>
      <c r="L3616">
        <f>HYPERLINK("https://raw.githubusercontent.com/marcosmapl/dataset_imigrantes/main/noticias_filtered/g1/haitianos/2012/00_jan/txt/g1_bc60a336-22f7-11ed-b24f-6dbe51e79fca_2093.txt", "TXT")</f>
        <v/>
      </c>
    </row>
    <row r="3617">
      <c r="A3617" s="1" t="n">
        <v>3615</v>
      </c>
      <c r="B3617" t="n">
        <v>2012</v>
      </c>
      <c r="C3617" s="2" t="n">
        <v>40919.32013888889</v>
      </c>
      <c r="D3617" t="inlineStr">
        <is>
          <t>G1</t>
        </is>
      </c>
      <c r="E3617" t="inlineStr">
        <is>
          <t>HAITIANOS</t>
        </is>
      </c>
      <c r="F3617" t="inlineStr"/>
      <c r="G3617" t="inlineStr"/>
      <c r="H3617" t="inlineStr">
        <is>
          <t>GOVERNO DECIDE FECHAR AS FRONTEIRAS PARA OS HAITIANOS</t>
        </is>
      </c>
      <c r="I3617" t="inlineStr"/>
      <c r="J3617">
        <f>HYPERLINK("http://g1.globo.com/bom-dia-brasil/noticia/2012/01/governo-decide-fechar-fronteiras-para-os-haitianos.html", "URL")</f>
        <v/>
      </c>
      <c r="K3617">
        <f>HYPERLINK("https://raw.githubusercontent.com/marcosmapl/dataset_imigrantes/main/noticias_filtered/g1/haitianos/2012/00_jan/html/g1_18231cfc-22f4-11ed-b24f-6dbe51e79fca_1873.html", "HTML")</f>
        <v/>
      </c>
      <c r="L3617">
        <f>HYPERLINK("https://raw.githubusercontent.com/marcosmapl/dataset_imigrantes/main/noticias_filtered/g1/haitianos/2012/00_jan/txt/g1_18231cfc-22f4-11ed-b24f-6dbe51e79fca_1873.txt", "TXT")</f>
        <v/>
      </c>
    </row>
    <row r="3618">
      <c r="A3618" s="1" t="n">
        <v>3616</v>
      </c>
      <c r="B3618" t="n">
        <v>2012</v>
      </c>
      <c r="C3618" s="2" t="n">
        <v>40918.99594907407</v>
      </c>
      <c r="D3618" t="inlineStr">
        <is>
          <t>A CRITICA</t>
        </is>
      </c>
      <c r="E3618" t="inlineStr">
        <is>
          <t>HAITIANOS</t>
        </is>
      </c>
      <c r="F3618" t="inlineStr"/>
      <c r="G3618" t="inlineStr">
        <is>
          <t>ACRÍTICA.COM</t>
        </is>
      </c>
      <c r="H3618" t="inlineStr">
        <is>
          <t>GOVERNO BRASILEIRO VAI CONTROLAR ENTRADA DE HAITIANOS NO PAÍS E LIMITAR VISTOS</t>
        </is>
      </c>
      <c r="I3618" t="inlineStr">
        <is>
          <t>DECISÃO FOI TOMADA DURANTE REUNIÃO OCORRIDA NESTA TERÇA-FEIRA ENTRE A PRESIDENTE DILMA ROUSSEFF E MINISTROS</t>
        </is>
      </c>
      <c r="J3618">
        <f>HYPERLINK("https://www.acritica.com/governo-brasileiro-vai-controlar-entrada-de-haitianos-no-pais-e-limitar-vistos-1.167294", "URL")</f>
        <v/>
      </c>
      <c r="K3618">
        <f>HYPERLINK("https://raw.githubusercontent.com/marcosmapl/dataset_imigrantes/main/noticias_filtered/a_critica/haitianos/2012/00_jan/html/1.167294_474.html", "HTML")</f>
        <v/>
      </c>
      <c r="L3618">
        <f>HYPERLINK("https://raw.githubusercontent.com/marcosmapl/dataset_imigrantes/main/noticias_filtered/a_critica/haitianos/2012/00_jan/txt/1.167294_474.txt", "TXT")</f>
        <v/>
      </c>
    </row>
    <row r="3619">
      <c r="A3619" s="1" t="n">
        <v>3617</v>
      </c>
      <c r="B3619" t="n">
        <v>2012</v>
      </c>
      <c r="C3619" s="2" t="n">
        <v>40918.92152777778</v>
      </c>
      <c r="D3619" t="inlineStr">
        <is>
          <t>G1</t>
        </is>
      </c>
      <c r="E3619" t="inlineStr">
        <is>
          <t>HAITIANOS</t>
        </is>
      </c>
      <c r="F3619" t="inlineStr"/>
      <c r="G3619" t="inlineStr"/>
      <c r="H3619" t="inlineStr">
        <is>
          <t>HAITIANOS RECLAMAM DA DEMORA PARA CONSEGUIREM VISTO DE PERMANÊNCIA</t>
        </is>
      </c>
      <c r="I3619" t="inlineStr"/>
      <c r="J3619">
        <f>HYPERLINK("http://g1.globo.com/jornal-nacional/noticia/2012/01/haitianos-reclamam-da-demora-para-conseguirem-visto-de-permanencia.html", "URL")</f>
        <v/>
      </c>
      <c r="K3619">
        <f>HYPERLINK("https://raw.githubusercontent.com/marcosmapl/dataset_imigrantes/main/noticias_filtered/g1/haitianos/2012/00_jan/html/g1_37e998f0-22f3-11ed-b24f-6dbe51e79fca_1830.html", "HTML")</f>
        <v/>
      </c>
      <c r="L3619">
        <f>HYPERLINK("https://raw.githubusercontent.com/marcosmapl/dataset_imigrantes/main/noticias_filtered/g1/haitianos/2012/00_jan/txt/g1_37e998f0-22f3-11ed-b24f-6dbe51e79fca_1830.txt", "TXT")</f>
        <v/>
      </c>
    </row>
    <row r="3620">
      <c r="A3620" s="1" t="n">
        <v>3618</v>
      </c>
      <c r="B3620" t="n">
        <v>2012</v>
      </c>
      <c r="C3620" s="2" t="n">
        <v>40918.7375</v>
      </c>
      <c r="D3620" t="inlineStr">
        <is>
          <t>G1</t>
        </is>
      </c>
      <c r="E3620" t="inlineStr">
        <is>
          <t>HAITIANOS</t>
        </is>
      </c>
      <c r="F3620" t="inlineStr"/>
      <c r="G3620" t="inlineStr"/>
      <c r="H3620" t="inlineStr">
        <is>
          <t>ENTENDA A SITUAÇÃO DOS HAITIANOS REFUGIADOS NO BRASIL</t>
        </is>
      </c>
      <c r="I3620" t="inlineStr"/>
      <c r="J3620">
        <f>HYPERLINK("http://g1.globo.com/globo-news/noticia/2012/01/entenda-situacao-dos-haitianos-refugiados-no-brasil.html", "URL")</f>
        <v/>
      </c>
      <c r="K3620">
        <f>HYPERLINK("https://raw.githubusercontent.com/marcosmapl/dataset_imigrantes/main/noticias_filtered/g1/haitianos/2012/00_jan/html/g1_60bb03d6-22f8-11ed-b24f-6dbe51e79fca_2129.html", "HTML")</f>
        <v/>
      </c>
      <c r="L3620">
        <f>HYPERLINK("https://raw.githubusercontent.com/marcosmapl/dataset_imigrantes/main/noticias_filtered/g1/haitianos/2012/00_jan/txt/g1_60bb03d6-22f8-11ed-b24f-6dbe51e79fca_2129.txt", "TXT")</f>
        <v/>
      </c>
    </row>
    <row r="3621">
      <c r="A3621" s="1" t="n">
        <v>3619</v>
      </c>
      <c r="B3621" t="n">
        <v>2012</v>
      </c>
      <c r="C3621" s="2" t="n">
        <v>40918.72986111111</v>
      </c>
      <c r="D3621" t="inlineStr">
        <is>
          <t>G1</t>
        </is>
      </c>
      <c r="E3621" t="inlineStr">
        <is>
          <t>HAITIANOS</t>
        </is>
      </c>
      <c r="F3621" t="inlineStr"/>
      <c r="G3621" t="inlineStr">
        <is>
          <t>ERS</t>
        </is>
      </c>
      <c r="H3621" t="inlineStr">
        <is>
          <t>BRASIL CONCEDERÁ VISTOS A 4 MIL HAITIANOS ILEGAIS NO PAÍS</t>
        </is>
      </c>
      <c r="I3621" t="inlineStr"/>
      <c r="J3621">
        <f>HYPERLINK("http://g1.globo.com/politica/noticia/2012/01/brasil-concedera-vistos-a-4-mil-haitianos-ilegais-no-pais-2.html", "URL")</f>
        <v/>
      </c>
      <c r="K3621">
        <f>HYPERLINK("https://raw.githubusercontent.com/marcosmapl/dataset_imigrantes/main/noticias_filtered/g1/haitianos/2012/00_jan/html/g1_5acd7fd6-22f7-11ed-b24f-6dbe51e79fca_2074.html", "HTML")</f>
        <v/>
      </c>
      <c r="L3621">
        <f>HYPERLINK("https://raw.githubusercontent.com/marcosmapl/dataset_imigrantes/main/noticias_filtered/g1/haitianos/2012/00_jan/txt/g1_5acd7fd6-22f7-11ed-b24f-6dbe51e79fca_2074.txt", "TXT")</f>
        <v/>
      </c>
    </row>
    <row r="3622">
      <c r="A3622" s="1" t="n">
        <v>3620</v>
      </c>
      <c r="B3622" t="n">
        <v>2012</v>
      </c>
      <c r="C3622" s="2" t="n">
        <v>40918.72986111111</v>
      </c>
      <c r="D3622" t="inlineStr">
        <is>
          <t>G1</t>
        </is>
      </c>
      <c r="E3622" t="inlineStr">
        <is>
          <t>HAITIANOS</t>
        </is>
      </c>
      <c r="F3622" t="inlineStr"/>
      <c r="G3622" t="inlineStr">
        <is>
          <t>ERS</t>
        </is>
      </c>
      <c r="H3622" t="inlineStr">
        <is>
          <t>BRASIL CONCEDERÁ VISTOS A 4 MIL HAITIANOS ILEGAIS NO PAÍS</t>
        </is>
      </c>
      <c r="I3622" t="inlineStr"/>
      <c r="J3622">
        <f>HYPERLINK("http://g1.globo.com/mundo/noticia/2012/01/brasil-concedera-vistos-a-4-mil-haitianos-ilegais-no-pais-1.html", "URL")</f>
        <v/>
      </c>
      <c r="K3622">
        <f>HYPERLINK("https://raw.githubusercontent.com/marcosmapl/dataset_imigrantes/main/noticias_filtered/g1/haitianos/2012/00_jan/html/g1_0245ba78-22f1-11ed-b24f-6dbe51e79fca_1730.html", "HTML")</f>
        <v/>
      </c>
      <c r="L3622">
        <f>HYPERLINK("https://raw.githubusercontent.com/marcosmapl/dataset_imigrantes/main/noticias_filtered/g1/haitianos/2012/00_jan/txt/g1_0245ba78-22f1-11ed-b24f-6dbe51e79fca_1730.txt", "TXT")</f>
        <v/>
      </c>
    </row>
    <row r="3623">
      <c r="A3623" s="1" t="n">
        <v>3621</v>
      </c>
      <c r="B3623" t="n">
        <v>2012</v>
      </c>
      <c r="C3623" s="2" t="n">
        <v>40918.72986111111</v>
      </c>
      <c r="D3623" t="inlineStr">
        <is>
          <t>G1</t>
        </is>
      </c>
      <c r="E3623" t="inlineStr">
        <is>
          <t>HAITIANOS</t>
        </is>
      </c>
      <c r="F3623" t="inlineStr"/>
      <c r="G3623" t="inlineStr">
        <is>
          <t>ERS</t>
        </is>
      </c>
      <c r="H3623" t="inlineStr">
        <is>
          <t>BRASIL CONCEDERÁ VISTOS A 4 MIL HAITIANOS ILEGAIS NO PAÍS</t>
        </is>
      </c>
      <c r="I3623" t="inlineStr"/>
      <c r="J3623">
        <f>HYPERLINK("http://g1.globo.com/mundo/noticia/2012/01/brasil-concedera-vistos-a-4-mil-haitianos-ilegais-no-pais.html", "URL")</f>
        <v/>
      </c>
      <c r="K3623">
        <f>HYPERLINK("https://raw.githubusercontent.com/marcosmapl/dataset_imigrantes/main/noticias_filtered/g1/haitianos/2012/00_jan/html/g1_ca5f5f2e-22fa-11ed-b24f-6dbe51e79fca_2241.html", "HTML")</f>
        <v/>
      </c>
      <c r="L3623">
        <f>HYPERLINK("https://raw.githubusercontent.com/marcosmapl/dataset_imigrantes/main/noticias_filtered/g1/haitianos/2012/00_jan/txt/g1_ca5f5f2e-22fa-11ed-b24f-6dbe51e79fca_2241.txt", "TXT")</f>
        <v/>
      </c>
    </row>
    <row r="3624">
      <c r="A3624" s="1" t="n">
        <v>3622</v>
      </c>
      <c r="B3624" t="n">
        <v>2012</v>
      </c>
      <c r="C3624" s="2" t="n">
        <v>40918.01319444444</v>
      </c>
      <c r="D3624" t="inlineStr">
        <is>
          <t>G1</t>
        </is>
      </c>
      <c r="E3624" t="inlineStr">
        <is>
          <t>HAITIANOS</t>
        </is>
      </c>
      <c r="F3624" t="inlineStr"/>
      <c r="G3624" t="inlineStr"/>
      <c r="H3624" t="inlineStr">
        <is>
          <t>GOVERNO CONCEDE VISTO HUMANITÁRIO PARA IMIGRANTES HAITIANOS</t>
        </is>
      </c>
      <c r="I3624" t="inlineStr"/>
      <c r="J3624">
        <f>HYPERLINK("http://g1.globo.com/globo-news/noticia/2012/01/governo-concede-visto-humanitario-para-imigrantes-haitianos.html", "URL")</f>
        <v/>
      </c>
      <c r="K3624">
        <f>HYPERLINK("https://raw.githubusercontent.com/marcosmapl/dataset_imigrantes/main/noticias_filtered/g1/haitianos/2012/00_jan/html/g1_9c426916-22f4-11ed-b24f-6dbe51e79fca_1901.html", "HTML")</f>
        <v/>
      </c>
      <c r="L3624">
        <f>HYPERLINK("https://raw.githubusercontent.com/marcosmapl/dataset_imigrantes/main/noticias_filtered/g1/haitianos/2012/00_jan/txt/g1_9c426916-22f4-11ed-b24f-6dbe51e79fca_1901.txt", "TXT")</f>
        <v/>
      </c>
    </row>
    <row r="3625">
      <c r="A3625" s="1" t="n">
        <v>3623</v>
      </c>
      <c r="B3625" t="n">
        <v>2012</v>
      </c>
      <c r="C3625" s="2" t="n">
        <v>40915.05972222222</v>
      </c>
      <c r="D3625" t="inlineStr">
        <is>
          <t>G1</t>
        </is>
      </c>
      <c r="E3625" t="inlineStr">
        <is>
          <t>HAITIANOS</t>
        </is>
      </c>
      <c r="F3625" t="inlineStr"/>
      <c r="G3625" t="inlineStr">
        <is>
          <t>ON DOURADOBRASILEIA, AC</t>
        </is>
      </c>
      <c r="H3625" t="inlineStr">
        <is>
          <t>HAITIANOS ATRAVESSAM FRONTEIRA ILEGALMENTE PARA VIVER NO BRASIL</t>
        </is>
      </c>
      <c r="I3625" t="inlineStr"/>
      <c r="J3625">
        <f>HYPERLINK("http://g1.globo.com/jornal-da-globo/noticia/2012/01/haitianos-atravessam-fronteira-ilegalmente-para-viver-no-brasil.html", "URL")</f>
        <v/>
      </c>
      <c r="K3625">
        <f>HYPERLINK("https://raw.githubusercontent.com/marcosmapl/dataset_imigrantes/main/noticias_filtered/g1/haitianos/2012/00_jan/html/g1_9fec73d0-22fa-11ed-b24f-6dbe51e79fca_2232.html", "HTML")</f>
        <v/>
      </c>
      <c r="L3625">
        <f>HYPERLINK("https://raw.githubusercontent.com/marcosmapl/dataset_imigrantes/main/noticias_filtered/g1/haitianos/2012/00_jan/txt/g1_9fec73d0-22fa-11ed-b24f-6dbe51e79fca_2232.txt", "TXT")</f>
        <v/>
      </c>
    </row>
    <row r="3626">
      <c r="A3626" s="1" t="n">
        <v>3624</v>
      </c>
      <c r="B3626" t="n">
        <v>2012</v>
      </c>
      <c r="C3626" s="2" t="n">
        <v>40914.90138888889</v>
      </c>
      <c r="D3626" t="inlineStr">
        <is>
          <t>G1</t>
        </is>
      </c>
      <c r="E3626" t="inlineStr">
        <is>
          <t>HAITIANOS</t>
        </is>
      </c>
      <c r="F3626" t="inlineStr"/>
      <c r="G3626" t="inlineStr"/>
      <c r="H3626" t="inlineStr">
        <is>
          <t>HAITIANOS CHEGAM PELA FRONTEIRA DA AMAZÔNIA À PROCURA DE TRABALHO</t>
        </is>
      </c>
      <c r="I3626" t="inlineStr"/>
      <c r="J3626">
        <f>HYPERLINK("http://g1.globo.com/jornal-nacional/noticia/2012/01/haitianos-chegam-pela-fronteira-da-amazonia-procura-de-trabalho.html", "URL")</f>
        <v/>
      </c>
      <c r="K3626">
        <f>HYPERLINK("https://raw.githubusercontent.com/marcosmapl/dataset_imigrantes/main/noticias_filtered/g1/haitianos/2012/00_jan/html/g1_62326582-22f4-11ed-b24f-6dbe51e79fca_1885.html", "HTML")</f>
        <v/>
      </c>
      <c r="L3626">
        <f>HYPERLINK("https://raw.githubusercontent.com/marcosmapl/dataset_imigrantes/main/noticias_filtered/g1/haitianos/2012/00_jan/txt/g1_62326582-22f4-11ed-b24f-6dbe51e79fca_1885.txt", "TXT")</f>
        <v/>
      </c>
    </row>
    <row r="3627">
      <c r="A3627" s="1" t="n">
        <v>3625</v>
      </c>
      <c r="B3627" t="n">
        <v>2012</v>
      </c>
      <c r="C3627" s="2" t="n">
        <v>40913.81548611111</v>
      </c>
      <c r="D3627" t="inlineStr">
        <is>
          <t>A CRITICA</t>
        </is>
      </c>
      <c r="E3627" t="inlineStr">
        <is>
          <t>HAITIANOS</t>
        </is>
      </c>
      <c r="F3627" t="inlineStr"/>
      <c r="G3627" t="inlineStr">
        <is>
          <t>ELAÍZE FARIAS</t>
        </is>
      </c>
      <c r="H3627" t="inlineStr">
        <is>
          <t>MÉDICOS SEM FRONTEIRA ELABORA DOCUMENTO PARA DIVULGAR SITUAÇÃO CRÍTICA DE HAITIANOS NO AM</t>
        </is>
      </c>
      <c r="I3627" t="inlineStr">
        <is>
          <t>COORDENADORA DA ONG QUE ESTÁ EM TABATINGA RELATA VULNERABILIDADE SANITÁRIA E DE SAÚDE DE IMIGRANTES QUE ESTÃO NO MUNICÍPIO</t>
        </is>
      </c>
      <c r="J3627">
        <f>HYPERLINK("https://www.acritica.com/medicos-sem-fronteira-elabora-documento-para-divulgar-situac-o-critica-de-haitianos-no-am-1.167017", "URL")</f>
        <v/>
      </c>
      <c r="K3627">
        <f>HYPERLINK("https://raw.githubusercontent.com/marcosmapl/dataset_imigrantes/main/noticias_filtered/a_critica/haitianos/2012/00_jan/html/1.167017_269.html", "HTML")</f>
        <v/>
      </c>
      <c r="L3627">
        <f>HYPERLINK("https://raw.githubusercontent.com/marcosmapl/dataset_imigrantes/main/noticias_filtered/a_critica/haitianos/2012/00_jan/txt/1.167017_269.txt", "TXT")</f>
        <v/>
      </c>
    </row>
    <row r="3628">
      <c r="A3628" s="1" t="n">
        <v>3626</v>
      </c>
      <c r="B3628" t="n">
        <v>2012</v>
      </c>
      <c r="C3628" s="2" t="n">
        <v>40913.81167824074</v>
      </c>
      <c r="D3628" t="inlineStr">
        <is>
          <t>A CRITICA</t>
        </is>
      </c>
      <c r="E3628" t="inlineStr">
        <is>
          <t>HAITIANOS</t>
        </is>
      </c>
      <c r="F3628" t="inlineStr"/>
      <c r="G3628" t="inlineStr">
        <is>
          <t>FELIPE LIBÓRIO</t>
        </is>
      </c>
      <c r="H3628" t="inlineStr">
        <is>
          <t>ENTIDADES QUE ASSISTEM IMIGRANTES HAITIANOS PEDEM PROVIDÊNCIAS ÀS AUTORIDADES</t>
        </is>
      </c>
      <c r="I3628" t="inlineStr">
        <is>
          <t>REFUGIADOS DO HAITI QUE ESTÃO EM TABATINGA VIVEM DRAMA NA FRONTEIRA, BOA PARTE DELES ESTÃO NO BRASIL EM CONDIÇÕES PRECÁRIAS</t>
        </is>
      </c>
      <c r="J3628">
        <f>HYPERLINK("https://www.acritica.com/entidades-que-assistem-imigrantes-haitianos-pedem-providencias-as-autoridades-1.167069", "URL")</f>
        <v/>
      </c>
      <c r="K3628">
        <f>HYPERLINK("https://raw.githubusercontent.com/marcosmapl/dataset_imigrantes/main/noticias_filtered/a_critica/haitianos/2012/00_jan/html/1.167069_1149.html", "HTML")</f>
        <v/>
      </c>
      <c r="L3628">
        <f>HYPERLINK("https://raw.githubusercontent.com/marcosmapl/dataset_imigrantes/main/noticias_filtered/a_critica/haitianos/2012/00_jan/txt/1.167069_1149.txt", "TXT")</f>
        <v/>
      </c>
    </row>
    <row r="3629">
      <c r="A3629" s="1" t="n">
        <v>3627</v>
      </c>
      <c r="B3629" t="n">
        <v>2012</v>
      </c>
      <c r="C3629" s="2" t="n">
        <v>40913.49204861111</v>
      </c>
      <c r="D3629" t="inlineStr">
        <is>
          <t>A CRITICA</t>
        </is>
      </c>
      <c r="E3629" t="inlineStr">
        <is>
          <t>VENEZUELANOS</t>
        </is>
      </c>
      <c r="F3629" t="inlineStr"/>
      <c r="G3629" t="inlineStr">
        <is>
          <t>AFP</t>
        </is>
      </c>
      <c r="H3629" t="inlineStr">
        <is>
          <t>HUGO CHÁVEZ ALERTA MISS MUNDO SOBRE PLÁSTICAS</t>
        </is>
      </c>
      <c r="I3629" t="inlineStr">
        <is>
          <t>CHÁVEZ DESEJOU À JOVEM MISS, UMA MORENA DE CABELO COMPRIDO E OLHOS NEGROS, "TODO O SUCESSO ESTE ANO"</t>
        </is>
      </c>
      <c r="J3629">
        <f>HYPERLINK("https://www.acritica.com/hugo-chavez-alerta-miss-mundo-sobre-plasticas-1.167037", "URL")</f>
        <v/>
      </c>
      <c r="K3629">
        <f>HYPERLINK("https://raw.githubusercontent.com/marcosmapl/dataset_imigrantes/main/noticias_filtered/a_critica/venezuelanos/2012/00_jan/html/1.167037_1078.html", "HTML")</f>
        <v/>
      </c>
      <c r="L3629">
        <f>HYPERLINK("https://raw.githubusercontent.com/marcosmapl/dataset_imigrantes/main/noticias_filtered/a_critica/venezuelanos/2012/00_jan/txt/1.167037_1078.txt", "TXT")</f>
        <v/>
      </c>
    </row>
    <row r="3630">
      <c r="A3630" s="1" t="n">
        <v>3628</v>
      </c>
      <c r="B3630" t="n">
        <v>2012</v>
      </c>
      <c r="C3630" s="2" t="n">
        <v>40910.28125</v>
      </c>
      <c r="D3630" t="inlineStr">
        <is>
          <t>G1</t>
        </is>
      </c>
      <c r="E3630" t="inlineStr">
        <is>
          <t>HAITIANOS</t>
        </is>
      </c>
      <c r="F3630" t="inlineStr"/>
      <c r="G3630" t="inlineStr">
        <is>
          <t>CE PRESSE</t>
        </is>
      </c>
      <c r="H3630" t="inlineStr">
        <is>
          <t>COMISSÃO HAITIANA RECOMENDA RESTAURAÇÃO DO EXÉRCITO</t>
        </is>
      </c>
      <c r="I3630" t="inlineStr"/>
      <c r="J3630">
        <f>HYPERLINK("http://g1.globo.com/mundo/noticia/2012/01/comissao-haitiana-recomenda-restauracao-do-exercito.html", "URL")</f>
        <v/>
      </c>
      <c r="K3630">
        <f>HYPERLINK("https://raw.githubusercontent.com/marcosmapl/dataset_imigrantes/main/noticias_filtered/g1/haitianos/2012/00_jan/html/g1_d01f0e56-232b-11ed-b24f-6dbe51e79fca_4272.html", "HTML")</f>
        <v/>
      </c>
      <c r="L3630">
        <f>HYPERLINK("https://raw.githubusercontent.com/marcosmapl/dataset_imigrantes/main/noticias_filtered/g1/haitianos/2012/00_jan/txt/g1_d01f0e56-232b-11ed-b24f-6dbe51e79fca_4272.txt", "TXT")</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2022-08-24T06:03:35Z</dcterms:created>
  <dcterms:modified xsi:type="dcterms:W3CDTF">2022-08-24T06:03:35Z</dcterms:modified>
</cp:coreProperties>
</file>